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30" yWindow="45" windowWidth="9495" windowHeight="11460" activeTab="0"/>
  </bookViews>
  <sheets>
    <sheet name="BS&amp;PL" sheetId="1" r:id="rId1"/>
    <sheet name="PL-T" sheetId="2" r:id="rId2"/>
    <sheet name="CE" sheetId="3" r:id="rId3"/>
    <sheet name="CEสำรองเผื่อเปลี่ยนแบบการใช้" sheetId="4" state="hidden" r:id="rId4"/>
  </sheets>
  <externalReferences>
    <externalReference r:id="rId7"/>
    <externalReference r:id="rId8"/>
    <externalReference r:id="rId9"/>
  </externalReferences>
  <definedNames>
    <definedName name="_xlnm.Print_Area" localSheetId="0">'BS&amp;PL'!$A$1:$Q$138</definedName>
    <definedName name="_xlnm.Print_Area" localSheetId="2">'CE'!$A$1:$AE$125</definedName>
    <definedName name="_xlnm.Print_Area" localSheetId="3">'CEสำรองเผื่อเปลี่ยนแบบการใช้'!$A$1:$X$85</definedName>
    <definedName name="_xlnm.Print_Area" localSheetId="1">'PL-T'!$A$1:$N$319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X64" authorId="0">
      <text>
        <r>
          <rPr>
            <sz val="8"/>
            <rFont val="Tahoma"/>
            <family val="2"/>
          </rPr>
          <t>Per Q3'07 FS total Equity after adj is 8,090,994 KB.</t>
        </r>
      </text>
    </comment>
  </commentList>
</comments>
</file>

<file path=xl/sharedStrings.xml><?xml version="1.0" encoding="utf-8"?>
<sst xmlns="http://schemas.openxmlformats.org/spreadsheetml/2006/main" count="1037" uniqueCount="330">
  <si>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</si>
  <si>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</si>
  <si>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</si>
  <si>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</si>
  <si>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</si>
  <si>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</si>
  <si>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</si>
  <si>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</si>
  <si>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</si>
  <si>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</si>
  <si>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</si>
  <si>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</si>
  <si>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</si>
  <si>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งบกำไรขาดทุน</t>
  </si>
  <si>
    <t>รวมรายได้</t>
  </si>
  <si>
    <t>กระแสเงินสดจากกิจกรรมดำเนินงาน</t>
  </si>
  <si>
    <t>กระแสเงินสดจากกิจกรรมลงทุน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</si>
  <si>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</si>
  <si>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</si>
  <si>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</si>
  <si>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ส่วนเกินมูลค่าหุ้นสามัญ</t>
  </si>
  <si>
    <t>ยังไม่ได้จัดสรร</t>
  </si>
  <si>
    <t>รวมค่าใช้จ่าย</t>
  </si>
  <si>
    <t>รวม</t>
  </si>
  <si>
    <t xml:space="preserve">รายได้ </t>
  </si>
  <si>
    <t xml:space="preserve">ค่าใช้จ่าย </t>
  </si>
  <si>
    <t>หมายเหตุ</t>
  </si>
  <si>
    <t>ที่ออกและ</t>
  </si>
  <si>
    <t>ชำระแล้ว</t>
  </si>
  <si>
    <t>งบกระแสเงินสด</t>
  </si>
  <si>
    <t>งบแสดงการเปลี่ยนแปลงส่วนของผู้ถือหุ้น</t>
  </si>
  <si>
    <t>จากกิจกรรมดำเนินงาน</t>
  </si>
  <si>
    <t>หนี้สูญและหนี้สงสัยจะสูญ</t>
  </si>
  <si>
    <t>งบการเงินรวม</t>
  </si>
  <si>
    <t>ส่วนของ</t>
  </si>
  <si>
    <t>ผู้ถือหุ้น</t>
  </si>
  <si>
    <t>ส่วนน้อย</t>
  </si>
  <si>
    <t>ส่วนของผู้ถือหุ้นส่วนน้อย</t>
  </si>
  <si>
    <t>ส่วนเกินทุน</t>
  </si>
  <si>
    <t>จำนวนหุ้นสามัญถัวเฉลี่ยถ่วงน้ำหนัก (หุ้น)</t>
  </si>
  <si>
    <t>หมายเหตุประกอบงบการเงินเป็นส่วนหนึ่งของงบการเงินนี้</t>
  </si>
  <si>
    <t>บริษัท กรุงเทพดุสิตเวชการ จำกัด (มหาชน) และบริษัทย่อย</t>
  </si>
  <si>
    <t>เงินสดและรายการเทียบเท่าเงินสด</t>
  </si>
  <si>
    <t>สินค้าคงเหลือ</t>
  </si>
  <si>
    <t>ค่าใช้จ่ายค้างจ่าย</t>
  </si>
  <si>
    <t>รายได้รอตัดบัญชี</t>
  </si>
  <si>
    <t>หนี้สินไม่หมุนเวียนอื่น</t>
  </si>
  <si>
    <t>กำไรสะสม</t>
  </si>
  <si>
    <t xml:space="preserve">รายได้อื่น </t>
  </si>
  <si>
    <t>ดอกเบี้ยรับ</t>
  </si>
  <si>
    <t>อื่น ๆ</t>
  </si>
  <si>
    <t xml:space="preserve">รวมรายได้อื่น </t>
  </si>
  <si>
    <t>รายได้รอตัดบัญชีตัดจ่าย</t>
  </si>
  <si>
    <t>เงินปันผลจ่าย</t>
  </si>
  <si>
    <t>รวมหนี้สินไม่หมุนเวียน</t>
  </si>
  <si>
    <t>-</t>
  </si>
  <si>
    <t>ตามกฎหมาย</t>
  </si>
  <si>
    <t>สำรอง</t>
  </si>
  <si>
    <t>(หน่วย : บาท)</t>
  </si>
  <si>
    <t>เงินให้กู้ยืมระยะยาวแก่กิจการที่เกี่ยวข้องกัน</t>
  </si>
  <si>
    <t xml:space="preserve">   ทุนจดทะเบียน  </t>
  </si>
  <si>
    <t xml:space="preserve">   ทุนออกจำหน่ายและชำระเต็มมูลค่าแล้ว </t>
  </si>
  <si>
    <t>จัดสรรแล้ว - สำรองตามกฎหมาย</t>
  </si>
  <si>
    <t>สินทรัพย์ดำเนินงานลดลง(เพิ่มขึ้น)</t>
  </si>
  <si>
    <t>สินทรัพย์หมุนเวียนอื่น</t>
  </si>
  <si>
    <t>สินทรัพย์ไม่หมุนเวียนอื่น</t>
  </si>
  <si>
    <t>หนี้สินดำเนินงานเพิ่มขึ้น(ลดลง)</t>
  </si>
  <si>
    <t>มูลค่าเงินลงทุน</t>
  </si>
  <si>
    <t>โอนไปสำรองตามกฎหมาย</t>
  </si>
  <si>
    <t>ปรับมูลค่ายุติธรรมของเงินลงทุน</t>
  </si>
  <si>
    <t>กำไรสุทธิสำหรับปี</t>
  </si>
  <si>
    <t>- 5 -</t>
  </si>
  <si>
    <t>- 6 -</t>
  </si>
  <si>
    <t>ส่วนเกินทุนจาก</t>
  </si>
  <si>
    <t>การเปลี่ยนแปลง</t>
  </si>
  <si>
    <t>เงินให้กู้ยืมระยะสั้นแก่กิจการที่เกี่ยวข้องกัน</t>
  </si>
  <si>
    <t>งบแสดงการเปลี่ยนแปลงส่วนของผู้ถือหุ้น (ต่อ)</t>
  </si>
  <si>
    <t>กรรมการ</t>
  </si>
  <si>
    <t>ยอดคงเหลือ ณ วันที่ 31 ธันวาคม 2549</t>
  </si>
  <si>
    <t>ผลต่างจากการปรับโครงสร้างการถือหุ้น</t>
  </si>
  <si>
    <t>หุ้นกู้แปลงสภาพ - องค์ประกอบที่เป็นทุน</t>
  </si>
  <si>
    <t>หุ้นกู้</t>
  </si>
  <si>
    <t>ผลต่างจากการ</t>
  </si>
  <si>
    <t xml:space="preserve">แปลงสภาพ - </t>
  </si>
  <si>
    <t>จัดสรรแล้ว -</t>
  </si>
  <si>
    <t>ส่วนเกินมูลค่า</t>
  </si>
  <si>
    <t>จากการตีราคา</t>
  </si>
  <si>
    <t>ปรับโครงสร้าง</t>
  </si>
  <si>
    <t>องค์ประกอบ</t>
  </si>
  <si>
    <t>หุ้นสามัญ</t>
  </si>
  <si>
    <t>การถือหุ้น</t>
  </si>
  <si>
    <t>ที่เป็นทุน</t>
  </si>
  <si>
    <t>เพิ่มทุน - หุ้นสามัญ</t>
  </si>
  <si>
    <t>ส่วนเกินมูลค่าหุ้น</t>
  </si>
  <si>
    <t xml:space="preserve">เงินปันผลจ่าย </t>
  </si>
  <si>
    <t>เงินกู้ยืมระยะสั้นจากกิจการที่เกี่ยวข้องกัน</t>
  </si>
  <si>
    <t>ของบริษัทย่อย</t>
  </si>
  <si>
    <t>ผลต่างจากการแปลงค่างบการเงิน</t>
  </si>
  <si>
    <t>แปลงค่างบการเงิน</t>
  </si>
  <si>
    <t>สำหรับปีสิ้นสุดวันที่ 31 ธันวาคม 2550 และ 2549</t>
  </si>
  <si>
    <t>ยอดคงเหลือ ณ วันที่ 31 ธันวาคม 2550</t>
  </si>
  <si>
    <t>ยอดคงเหลือ ณ วันที่ 31 ธันวาคม 2548 - ตามที่รายงานไว้เดิม</t>
  </si>
  <si>
    <t>ผลสะสมจากการเปลี่ยนแปลงนโยบายการบัญชีเกี่ยวกับ</t>
  </si>
  <si>
    <t xml:space="preserve">     การบันทึกอาคาร</t>
  </si>
  <si>
    <t>ยอดคงเหลือ ณ วันที่ 31 ธันวาคม 2548 - หลังปรับปรุง</t>
  </si>
  <si>
    <t>การแปลงสภาพหุ้นกู้</t>
  </si>
  <si>
    <t>กำไรสุทธิสำหรับปี(ปรับปรุงใหม่)</t>
  </si>
  <si>
    <t>งบการเงินเฉพาะกิจการ</t>
  </si>
  <si>
    <t xml:space="preserve">     การบันทึกเงินลงทุนในบริษัทย่อยและบริษัทร่วม</t>
  </si>
  <si>
    <t>ผลสะสมจากการเปลี่ยนแปลงนโยบายบัญชีเกี่ยวกับ</t>
  </si>
  <si>
    <t>ส่วนของผู้ถือหุ้นส่วนน้อยในกำไรสุทธิสำหรับปี - หลังปรับปรุง</t>
  </si>
  <si>
    <t>ยอดคงเหลือ ณ วันที่ 31 ธันวาคม 2549 - หลังปรับปรุง</t>
  </si>
  <si>
    <t>เงินปันผลรับ</t>
  </si>
  <si>
    <t>ที่ดินและอาคาร</t>
  </si>
  <si>
    <t>ส่วนเกินทุนจากการตีราคาที่ดิน</t>
  </si>
  <si>
    <t>ที่ดิน</t>
  </si>
  <si>
    <t>ส่วนแบ่งกำไรจากเงินลงทุนในบริษัทร่วม</t>
  </si>
  <si>
    <t>ยอดคงเหลือ ณ วันที่ 31 ธันวาคม 2549 - ตามที่รายงานไว้เดิม</t>
  </si>
  <si>
    <t>เงินลงทุนในบริษัทร่วม</t>
  </si>
  <si>
    <t>3</t>
  </si>
  <si>
    <t>ค่าความนิยม</t>
  </si>
  <si>
    <t>อื่นๆ</t>
  </si>
  <si>
    <t>ค่าใช้จ่ายในการบริหาร</t>
  </si>
  <si>
    <t>ค่าใช้จ่ายทางการเงิน</t>
  </si>
  <si>
    <t>รวมส่วนของ</t>
  </si>
  <si>
    <t>ค่าใช้จ่ายดอกเบี้ย</t>
  </si>
  <si>
    <t>เงินสดจากกิจกรรมดำเนินงาน</t>
  </si>
  <si>
    <t>จ่ายดอกเบี้ย</t>
  </si>
  <si>
    <t>รายได้ดอกเบี้ยรับ</t>
  </si>
  <si>
    <t>เงินสดรับสุทธิจากการขายที่ดิน อาคาร และอุปกรณ์</t>
  </si>
  <si>
    <t>เงินสดจ่ายซื้อที่ดิน อาคาร และอุปกรณ์</t>
  </si>
  <si>
    <t xml:space="preserve">ข้อมูลเพิ่มเติมประกอบกระแสเงินสด </t>
  </si>
  <si>
    <t>รายการที่ไม่ใช่เงินสด</t>
  </si>
  <si>
    <t>รายได้ค่ารักษาพยาบาล</t>
  </si>
  <si>
    <t>ค่าเสื่อมราคาและค่าตัดจำหน่าย</t>
  </si>
  <si>
    <t>รับชำระเงินให้กู้ยืมระยะยาวแก่กิจการที่เกี่ยวข้องกัน</t>
  </si>
  <si>
    <t>รายการตัดบัญชีสินทรัพย์</t>
  </si>
  <si>
    <t>เงินสดจ่ายชำระเจ้าหนี้สัญญาเช่าการเงิน</t>
  </si>
  <si>
    <t>สินทรัพย์ซื้อภายใต้สัญญาเช่าการเงิน</t>
  </si>
  <si>
    <t>เงินสดจ่ายชำระคืนเงินกู้ยืมระยะยาวจากสถาบันการเงิน</t>
  </si>
  <si>
    <t>รายได้เงินปันผลรับ</t>
  </si>
  <si>
    <t>กำไรก่อนส่วนแบ่งกำไรจากเงินลงทุนในบริษัทร่วม</t>
  </si>
  <si>
    <t>1</t>
  </si>
  <si>
    <t>เงินกู้ยืมระยะยาวจากสถาบันการเงิน - สุทธิจาก</t>
  </si>
  <si>
    <t xml:space="preserve">   ส่วนที่ถึงกำหนดชำระภายในหนึ่งปี</t>
  </si>
  <si>
    <t>หนี้สินตามสัญญาเช่าการเงิน - สุทธิจาก</t>
  </si>
  <si>
    <t>หนี้สินและส่วนของผู้ถือหุ้น (ต่อ)</t>
  </si>
  <si>
    <t>ส่วนของเงินกู้ยืมระยะยาวจากสถาบันการเงิน</t>
  </si>
  <si>
    <t xml:space="preserve">   ที่ถึงกำหนดชำระภายในหนึ่งปี</t>
  </si>
  <si>
    <t>ดอกเบี้ยรับจากการลงทุน</t>
  </si>
  <si>
    <t>เงินสดสุทธิได้มาจากกิจกรรมดำเนินงาน</t>
  </si>
  <si>
    <t>ที่ดินและอาคารที่ยังไม่ได้ใช้เพื่อการดำเนินงาน</t>
  </si>
  <si>
    <t>ส่วนของหุ้นกู้ที่ถึงกำหนดชำระภายในหนึ่งปี</t>
  </si>
  <si>
    <t>หุ้นกู้ - สุทธิจากส่วนที่ถึงกำหนดชำระภายในหนึ่งปี</t>
  </si>
  <si>
    <t>งบแสดงฐานะการเงิน</t>
  </si>
  <si>
    <t>อสังหาริมทรัพย์เพื่อการลงทุน</t>
  </si>
  <si>
    <t>งบแสดงฐานะการเงิน (ต่อ)</t>
  </si>
  <si>
    <t>ภาษีเงินได้ค้างจ่าย</t>
  </si>
  <si>
    <t>สำรองผลประโยชน์ระยะยาวของพนักงาน</t>
  </si>
  <si>
    <t>องค์ประกอบอื่นของส่วนของผู้ถือหุ้น</t>
  </si>
  <si>
    <t>ส่วนของผู้มีส่วนได้เสียที่ไม่มีอำนาจควบคุมของบริษัทย่อย</t>
  </si>
  <si>
    <t>ส่วนที่เป็นของผู้มีส่วนได้เสียที่ไม่มีอำนาจควบคุมของบริษัทย่อย</t>
  </si>
  <si>
    <t>งบกำไรขาดทุนเบ็ดเสร็จ</t>
  </si>
  <si>
    <t>กำไรขาดทุนเบ็ดเสร็จอื่น:</t>
  </si>
  <si>
    <t>การแบ่งปันกำไรขาดทุนเบ็ดเสร็จรวม</t>
  </si>
  <si>
    <t>กำไรขาดทุนเบ็ดเสร็จอื่น</t>
  </si>
  <si>
    <t>รวมองค์ประกอบ</t>
  </si>
  <si>
    <t>ของผู้ถือหุ้น</t>
  </si>
  <si>
    <t>อื่นของส่วน</t>
  </si>
  <si>
    <t>เงินสดรับจากการออกหุ้นกู้</t>
  </si>
  <si>
    <t>แปลงค่า</t>
  </si>
  <si>
    <t>ผู้มีส่วนได้เสีย</t>
  </si>
  <si>
    <t>ที่ไม่มี</t>
  </si>
  <si>
    <t>อำนาจควบคุม</t>
  </si>
  <si>
    <t>จากการวัด</t>
  </si>
  <si>
    <t>หลักทรัพย์เผื่อขาย</t>
  </si>
  <si>
    <t>มูลค่าเงินลงทุนใน</t>
  </si>
  <si>
    <t xml:space="preserve">เงินลงทุนชั่วคราว </t>
  </si>
  <si>
    <t>ส่วนแบ่งกำไรขาดทุนเบ็ดเสร็จอื่นของบริษัทร่วม</t>
  </si>
  <si>
    <t xml:space="preserve">หุ้นสามัญ 1,545,458,883 หุ้น มูลค่าหุ้นละ 1 บาท </t>
  </si>
  <si>
    <t>เงินฝากระยะยาวกับสถาบันการเงิน</t>
  </si>
  <si>
    <t>เงินฝากสถาบันการเงินที่มีภาระค้ำประกัน</t>
  </si>
  <si>
    <t>เงินสดรับจากเงินกู้ยืมระยะยาวจากสถาบันการเงิน</t>
  </si>
  <si>
    <t>รายได้จากการจำหน่ายสินค้าและอาหาร</t>
  </si>
  <si>
    <t>งบกระแสเงินสด (ต่อ)</t>
  </si>
  <si>
    <t>รวมส่วนของผู้ถือหุ้นของบริษัทฯ</t>
  </si>
  <si>
    <t>ส่วนที่เป็นของผู้ถือหุ้นของบริษัทฯ</t>
  </si>
  <si>
    <t>ส่วนของผู้ถือหุ้นของบริษัทฯ</t>
  </si>
  <si>
    <t>ของบริษัทฯ</t>
  </si>
  <si>
    <t>กำไรจากการดำเนินงานก่อนการเปลี่ยนแปลงในสินทรัพย์</t>
  </si>
  <si>
    <t>และหนี้สินดำเนินงาน</t>
  </si>
  <si>
    <t>กำไรจากการปรับมูลค่ายุติธรรมของเงินลงทุน</t>
  </si>
  <si>
    <t>ต้นทุนค่ารักษาพยาบาลและต้นทุนขาย</t>
  </si>
  <si>
    <t>การแบ่งปันกำไร</t>
  </si>
  <si>
    <t xml:space="preserve">   กำไรส่วนที่เป็นของผู้ถือหุ้นของบริษัทฯ</t>
  </si>
  <si>
    <t>ค่าใช้จ่ายผลประโยชน์ระยะยาวของพนักงาน</t>
  </si>
  <si>
    <t>เงินสดจ่ายซื้อเงินลงทุนในบริษัทย่อย บริษัทร่วม และบริษัทอื่น</t>
  </si>
  <si>
    <t>เงินสดจ่ายซื้อสิทธิการเช่า</t>
  </si>
  <si>
    <t>เงินปันผลค้างรับ</t>
  </si>
  <si>
    <t>เงินสดรับจากการขอคืนภาษี</t>
  </si>
  <si>
    <t>เงินให้กู้ยืมระยะยาวแก่กิจการที่เกี่ยวข้องกันเพิ่มขึ้น</t>
  </si>
  <si>
    <t>เงินสดจ่ายซื้อสินทรัพย์ไม่มีตัวตน</t>
  </si>
  <si>
    <t>ของบริษัทร่วม</t>
  </si>
  <si>
    <t>กำไรต่อหุ้นขั้นพื้นฐาน</t>
  </si>
  <si>
    <t>ยอดคงเหลือ ณ วันที่ 31 ธันวาคม 2554</t>
  </si>
  <si>
    <t>ลูกหนี้การค้าและลูกหนี้อื่น</t>
  </si>
  <si>
    <t>เจ้าหนี้การค้าและเจ้าหนี้อื่น</t>
  </si>
  <si>
    <t>เงินสดจ่ายซื้ออสังหาริมทรัพย์เพื่อการลงทุน</t>
  </si>
  <si>
    <t xml:space="preserve">เงินลงทุนในบริษัทย่อย </t>
  </si>
  <si>
    <t xml:space="preserve">เงินลงทุนระยะยาวอื่น </t>
  </si>
  <si>
    <t xml:space="preserve">ที่ดิน อาคาร และอุปกรณ์ </t>
  </si>
  <si>
    <t>สินทรัพย์ไม่มีตัวตน</t>
  </si>
  <si>
    <t xml:space="preserve">สินทรัพย์ไม่หมุนเวียนอื่น </t>
  </si>
  <si>
    <t xml:space="preserve">สิทธิการเช่า </t>
  </si>
  <si>
    <t>งบการเงินที่เป็น</t>
  </si>
  <si>
    <t>เงินตราต่างประเทศ</t>
  </si>
  <si>
    <t>ส่วนแบ่ง</t>
  </si>
  <si>
    <t>องค์ประกอบอื่น</t>
  </si>
  <si>
    <t>เงินลงทุนที่สูงกว่า</t>
  </si>
  <si>
    <t>มูลค่าตามบัญชีของ</t>
  </si>
  <si>
    <t>บริษัทย่อย</t>
  </si>
  <si>
    <t xml:space="preserve">หุ้นสามัญ 1,700,004,771 หุ้น มูลค่าหุ้นละ 1 บาท </t>
  </si>
  <si>
    <t>ยอดคงเหลือ ณ วันที่ 31 ธันวาคม 2555</t>
  </si>
  <si>
    <t>เงินปันผลค้างรับ - กิจการที่เกี่ยวข้องกัน</t>
  </si>
  <si>
    <t>เจ้าหนี้ค่าซื้ออสังหาริมทรัพย์เพื่อการลงทุนลดลง</t>
  </si>
  <si>
    <t>ส่วนแบ่งดอกเบี้ยจ่ายสำหรับหุ้นกู้แปลงสภาพ</t>
  </si>
  <si>
    <t xml:space="preserve">   ที่ถือเป็นตราสารทุนของบริษัทร่วม</t>
  </si>
  <si>
    <t>เงินสดสุทธิใช้ไปในกิจกรรมลงทุน</t>
  </si>
  <si>
    <t>กระแสเงินสดสุทธิจากกิจกรรมจัดหาเงิน</t>
  </si>
  <si>
    <t>เงินเบิกเกินบัญชีธนาคารและเงินกู้ยืมระยะสั้น</t>
  </si>
  <si>
    <t xml:space="preserve">   จากสถาบันการเงิน</t>
  </si>
  <si>
    <t>ส่วนของหนี้สินตามสัญญาเช่าการเงินที่ถึงกำหนดชำระ</t>
  </si>
  <si>
    <t xml:space="preserve">   ภายในหนึ่งปี</t>
  </si>
  <si>
    <t>ผลต่างของอัตราแลกเปลี่ยนจากการแปลงค่างบการเงินที่เป็น</t>
  </si>
  <si>
    <t xml:space="preserve">   เงินตราต่างประเทศ</t>
  </si>
  <si>
    <t>เงินสดจ่ายซื้อเงินลงทุนในบริษัทย่อยจากผู้มีส่วนได้เสีย</t>
  </si>
  <si>
    <t xml:space="preserve">   ที่ไม่มีอำนาจควบคุม</t>
  </si>
  <si>
    <t>ผลสะสมจากการเปลี่ยนแปลงนโยบาย</t>
  </si>
  <si>
    <t xml:space="preserve">   ในบริษัทย่อย</t>
  </si>
  <si>
    <t>ส่วนของผู้มีส่วนได้เสียที่ไม่มีอำนาจควบคุม</t>
  </si>
  <si>
    <t xml:space="preserve">   ลดลงจากการจ่ายเงินปันผลของบริษัทย่อย</t>
  </si>
  <si>
    <t>ทุนจากการวัด</t>
  </si>
  <si>
    <t>ในหลักทรัพย์</t>
  </si>
  <si>
    <t>เผื่อขาย</t>
  </si>
  <si>
    <t>การเปลี่ยนแปลงส่วนของผู้มีส่วนได้เสียที่</t>
  </si>
  <si>
    <t xml:space="preserve">   ไม่มีอำนาจควบคุมจากการซื้อเงินลงทุน</t>
  </si>
  <si>
    <t>ของส่วนของ</t>
  </si>
  <si>
    <t>เงินสดรับจากเงินเบิกเกินบัญชีและเงินกู้ยืมระยะสั้น</t>
  </si>
  <si>
    <t>เงินสดจ่ายเงินเบิกเกินบัญชีและเงินกู้ยืมระยะสั้น</t>
  </si>
  <si>
    <t>โอนกลับรายการกำไรจากการวัดมูลค่าเงินลงทุนใน</t>
  </si>
  <si>
    <t xml:space="preserve">   หลักทรัพย์เผื่อขายเนื่องจากโอนเปลี่ยนประเภทเงินลงทุน</t>
  </si>
  <si>
    <t xml:space="preserve">   จากเงินลงทุนระยะยาวอื่นเป็นเงินลงทุนในบริษัทร่วม</t>
  </si>
  <si>
    <t>กระแสเงินสดจากกิจกรรมดำเนินงาน (ต่อ)</t>
  </si>
  <si>
    <t xml:space="preserve">   หลักคณิตศาสตร์ประกันภัย</t>
  </si>
  <si>
    <t>ณ วันที่</t>
  </si>
  <si>
    <t>(หน่วย: พันบาท)</t>
  </si>
  <si>
    <t>(ยังไม่ได้ตรวจสอบ</t>
  </si>
  <si>
    <t>(ตรวจสอบแล้ว)</t>
  </si>
  <si>
    <t>แต่สอบทานแล้ว)</t>
  </si>
  <si>
    <t>31 ธันวาคม 2555</t>
  </si>
  <si>
    <t>(หน่วย: พันบาท ยกเว้นกำไรต่อหุ้นแสดงเป็นบาท)</t>
  </si>
  <si>
    <t>เงินสดและรายการเทียบเท่าเงินสดต้นงวด</t>
  </si>
  <si>
    <t>เงินสดและรายการเทียบเท่าเงินสดสิ้นงวด</t>
  </si>
  <si>
    <t>กำไรสำหรับงวด</t>
  </si>
  <si>
    <t>กำไรขาดทุนเบ็ดเสร็จอื่นสำหรับงวด</t>
  </si>
  <si>
    <t>กำไรขาดทุนเบ็ดเสร็จรวมสำหรับงวด</t>
  </si>
  <si>
    <t>(ปรับปรุงใหม่)</t>
  </si>
  <si>
    <t>4, 5, 6</t>
  </si>
  <si>
    <t>6, 12</t>
  </si>
  <si>
    <t>หนี้สินภาษีเงินได้รอตัดบัญชี</t>
  </si>
  <si>
    <t>1 มกราคม 2555</t>
  </si>
  <si>
    <t>เงินสดรับจากการขายอสังหาริมทรัพย์เพื่อการลงทุน</t>
  </si>
  <si>
    <t>เงินสดรับจากการขายเงินลงทุนในบริษัทย่อย</t>
  </si>
  <si>
    <t>ผลกำไรจากการประมาณการตาม</t>
  </si>
  <si>
    <t>เจ้าหนี้ค่าก่อสร้างและเงินประกันผลงานเพิ่มขึ้น</t>
  </si>
  <si>
    <t>เงินสดจ่ายชำระไถ่ถอนหุ้นกู้</t>
  </si>
  <si>
    <t xml:space="preserve">    ค่าใช้จ่ายทางการเงินและค่าใช้จ่ายภาษีเงินได้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</si>
  <si>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</si>
  <si>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</si>
  <si>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</si>
  <si>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4</t>
  </si>
  <si>
    <t>5</t>
  </si>
  <si>
    <t>ขาดทุนจากการด้อยค่าของเงินลงทุน</t>
  </si>
  <si>
    <t>(ยังไม่ได้ตรวจสอบ แต่สอบทานแล้ว)</t>
  </si>
  <si>
    <t>ค่าใช้จ่ายในการออกหุ้นกู้และเงินกู้ยืม</t>
  </si>
  <si>
    <t>เจ้าหนี้ค่าซื้อที่ดิน อาคารและอุปกรณ์เพิ่มขึ้น(ลดลง)</t>
  </si>
  <si>
    <t>ส่วนเกิน</t>
  </si>
  <si>
    <t>เงินสดและรายการเทียบเท่าเงินสดเพิ่มขึ้น(ลดลง)สุทธิ</t>
  </si>
  <si>
    <t xml:space="preserve">   ตัดจำหน่าย</t>
  </si>
  <si>
    <t>ปรับรายการที่กระทบกำไรก่อนค่าใช้จ่ายภาษีเงินได้เป็นเงินสดรับ(จ่าย)</t>
  </si>
  <si>
    <t>จ่ายค่าใช้จ่ายภาษีเงินได้</t>
  </si>
  <si>
    <t xml:space="preserve">  การบัญชีเกี่ยวกับภาษีเงินได้ (หมายเหตุ 3)</t>
  </si>
  <si>
    <t>กำไรส่วนที่เป็นของผู้ถือหุ้นของบริษัทฯ</t>
  </si>
  <si>
    <t>6</t>
  </si>
  <si>
    <t>7</t>
  </si>
  <si>
    <t>11</t>
  </si>
  <si>
    <t xml:space="preserve"> </t>
  </si>
  <si>
    <t>เงินปันผลจ่ายของบริษัทย่อยแก่ผู้ถือหุ้นที่ไม่มีอำนาจควบคุม</t>
  </si>
  <si>
    <t>เงินปันผลจ่าย (หมายเหตุ 17)</t>
  </si>
  <si>
    <t>ขาดทุน(กำไร)จากการจำหน่ายที่ดิน อาคาร และอุปกรณ์</t>
  </si>
  <si>
    <t>เงินลงทุนชั่วคราวลดลง(เพิ่มขึ้น)</t>
  </si>
  <si>
    <t>เงินสดสุทธิได้มาจาก(ใช้ไปใน)กิจกรรมจัดหาเงิน</t>
  </si>
  <si>
    <t>6, 7, 8, 9</t>
  </si>
  <si>
    <t>7, 8</t>
  </si>
  <si>
    <t>30 กันยายน 2556</t>
  </si>
  <si>
    <t xml:space="preserve">สำหรับงวดสามเดือนสิ้นสุดวันที่ 30 กันยายน 2556 </t>
  </si>
  <si>
    <t>สำหรับงวดเก้าเดือนสิ้นสุดวันที่ 30 กันยายน 2556</t>
  </si>
  <si>
    <t xml:space="preserve">สำหรับงวดเก้าเดือนสิ้นสุดวันที่ 30 กันยายน 2556 </t>
  </si>
  <si>
    <t>ยอดคงเหลือ ณ วันที่ 30 กันยายน 2555</t>
  </si>
  <si>
    <t>ยอดคงเหลือ ณ วันที่ 30 กันยายน 2556</t>
  </si>
  <si>
    <t>สำหรับงวดสามเดือนสิ้นสุดวันที่ 30 กันยายน 2556</t>
  </si>
  <si>
    <t xml:space="preserve">สำหรับงวดเก้าเดือนสิ้นสุดวันที่ 30 มิถุนายน 2556 </t>
  </si>
  <si>
    <t>โอนกลับส่วนเกินทุนจากการตีราคาที่ดิน</t>
  </si>
  <si>
    <t>สำรอง(โอนกลับ)สินค้าเสื่อมสภาพ</t>
  </si>
  <si>
    <t>ขาดทุน(กำไร)จากอัตราแลกเปลี่ยนที่ยังไม่เกิดขึ้นจริง</t>
  </si>
  <si>
    <t>เงินฝากสถาบันการเงินที่มีภาระค้ำประกันลดลง(เพิ่มขึ้น)</t>
  </si>
  <si>
    <t>เงินให้กู้ยืมระยะสั้นแก่กิจการที่เกี่ยวข้องกันลดลง(เพิ่มขึ้น)</t>
  </si>
  <si>
    <t>เงินกู้ยืมระยะสั้นจากกิจการที่เกี่ยวข้องกันเพิ่มขึ้น</t>
  </si>
  <si>
    <t>เงินฝากระยะยาวสถาบันการเงินลดลง(เพิ่มขึ้น)</t>
  </si>
  <si>
    <t>ผลกำไร(ขาดทุน)จากการวัดมูลค่าเงินลงทุนในหลักทรัพย์เผื่อขาย</t>
  </si>
  <si>
    <t xml:space="preserve">   - ตามที่รายงานไว้เดิม</t>
  </si>
  <si>
    <t xml:space="preserve">   - หลังการปรับปรุงใหม่</t>
  </si>
  <si>
    <t>กำไรสำหรับงวด - ปรับปรุงใหม่</t>
  </si>
  <si>
    <t>กำไรขาดทุนเบ็ดเสร็จอื่นสำหรับงวด - ปรับปรุงใหม่</t>
  </si>
  <si>
    <t>กำไรขาดทุนเบ็ดเสร็จรวมสำหรับงวด - ปรับปรุงใหม่</t>
  </si>
  <si>
    <t>กำไรสำหรับงวด  - ปรับปรุงใหม่</t>
  </si>
  <si>
    <t>เงินสดรับสุทธิจากการขายที่ดินและอาคารที่ยังไม่ได้ใช้เพื่อการดำเนินงาน</t>
  </si>
  <si>
    <t xml:space="preserve">   (1 มกราคม 2555: หุ้นสามัญ 1,553,391,408 หุ้น </t>
  </si>
  <si>
    <t xml:space="preserve">   มูลค่าหุ้นละ 1 บาท) </t>
  </si>
  <si>
    <t>โอนส่วนเกินทุนจากการตีราคาที่ดินไปยังกำไรสะสมจากการจำหน่ายที่ดิน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</si>
</sst>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\t&quot;£&quot;#,##0_);\(\t&quot;£&quot;#,##0\)"/>
    <numFmt numFmtId="183" formatCode="\t&quot;£&quot;#,##0_);[Red]\(\t&quot;£&quot;#,##0\)"/>
    <numFmt numFmtId="184" formatCode="\t&quot;£&quot;#,##0.00_);\(\t&quot;£&quot;#,##0.00\)"/>
    <numFmt numFmtId="185" formatCode="\t&quot;£&quot;#,##0.00_);[Red]\(\t&quot;£&quot;#,##0.00\)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#,##0\ ;\(#,##0\)"/>
    <numFmt numFmtId="191" formatCode="_(* #,##0_);_(* \(#,##0\);_(* &quot;-&quot;??_);_(@_)"/>
    <numFmt numFmtId="192" formatCode="#,##0.0\ ;\(#,##0.0\)"/>
    <numFmt numFmtId="193" formatCode="_(* #,##0_);_(* \(#,##0\);_(* &quot; -    &quot;_);_(@_)"/>
    <numFmt numFmtId="194" formatCode="0.0%"/>
    <numFmt numFmtId="195" formatCode="dd\-mmm\-yy_)"/>
    <numFmt numFmtId="196" formatCode="0.00_)"/>
    <numFmt numFmtId="197" formatCode="#,##0.00\ &quot;F&quot;;\-#,##0.00\ &quot;F&quot;"/>
    <numFmt numFmtId="198" formatCode="#,##0.0;[Red]\-#,##0.0"/>
    <numFmt numFmtId="199" formatCode="dd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00_);_(* \(#,##0.000\);_(* &quot;-&quot;??_);_(@_)"/>
    <numFmt numFmtId="205" formatCode="_(* #,##0.0_);_(* \(#,##0.0\);_(* &quot;-&quot;??_);_(@_)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00000"/>
    <numFmt numFmtId="212" formatCode="_(* #,##0.0_);_(* \(#,##0.0\);_(* &quot;-&quot;_);_(@_)"/>
    <numFmt numFmtId="213" formatCode="_(* #,##0.00_);_(* \(#,##0.00\);_(* &quot;-&quot;_);_(@_)"/>
    <numFmt numFmtId="214" formatCode="_([$€-2]\ * #,##0.00_);_([$€-2]\ * \(#,##0.00\);_([$€-2]\ * &quot;-&quot;??_);_(@_)"/>
    <numFmt numFmtId="215" formatCode="#,##0.0_);\(#,##0.0\)"/>
    <numFmt numFmtId="216" formatCode="#,##0.00_ ;\-#,##0.00\ "/>
    <numFmt numFmtId="217" formatCode="#,##0.00\ ;\(#,##0.00\)"/>
    <numFmt numFmtId="218" formatCode="#,##0.0_);[Red]\(#,##0.0\)"/>
    <numFmt numFmtId="219" formatCode="#,##0;\(#,##0\)"/>
  </numFmts>
  <fonts count="65">
    <font>
      <sz val="15"/>
      <name val="Angsana New"/>
      <family val="1"/>
    </font>
    <font>
      <sz val="10"/>
      <name val="Arial"/>
      <family val="0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4"/>
      <name val="Angsana New"/>
      <family val="1"/>
    </font>
    <font>
      <sz val="10"/>
      <name val="ApFont"/>
      <family val="0"/>
    </font>
    <font>
      <sz val="13"/>
      <name val="Angsana New"/>
      <family val="1"/>
    </font>
    <font>
      <b/>
      <sz val="13"/>
      <name val="Angsana New"/>
      <family val="1"/>
    </font>
    <font>
      <u val="single"/>
      <sz val="13"/>
      <name val="Angsana New"/>
      <family val="1"/>
    </font>
    <font>
      <i/>
      <sz val="13"/>
      <name val="Angsana New"/>
      <family val="1"/>
    </font>
    <font>
      <sz val="12"/>
      <name val="Angsana New"/>
      <family val="1"/>
    </font>
    <font>
      <u val="single"/>
      <sz val="12"/>
      <name val="Angsana New"/>
      <family val="1"/>
    </font>
    <font>
      <b/>
      <sz val="12"/>
      <name val="Angsana New"/>
      <family val="1"/>
    </font>
    <font>
      <i/>
      <sz val="12"/>
      <name val="Angsana New"/>
      <family val="1"/>
    </font>
    <font>
      <sz val="8"/>
      <name val="Tahoma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4"/>
      <name val="Angsana New"/>
      <family val="1"/>
    </font>
    <font>
      <u val="single"/>
      <sz val="14"/>
      <name val="Angsana New"/>
      <family val="1"/>
    </font>
    <font>
      <i/>
      <sz val="14"/>
      <name val="Angsana New"/>
      <family val="1"/>
    </font>
    <font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sz val="18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9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0"/>
      <name val="Angsana New"/>
      <family val="1"/>
    </font>
    <font>
      <b/>
      <sz val="8"/>
      <name val="Angsan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5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5" fontId="15" fillId="0" borderId="0">
      <alignment/>
      <protection/>
    </xf>
    <xf numFmtId="194" fontId="15" fillId="0" borderId="0">
      <alignment/>
      <protection/>
    </xf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8" borderId="0" applyNumberFormat="0" applyBorder="0" applyAlignment="0" applyProtection="0"/>
    <xf numFmtId="38" fontId="16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10" fontId="16" fillId="31" borderId="6" applyNumberFormat="0" applyBorder="0" applyAlignment="0" applyProtection="0"/>
    <xf numFmtId="0" fontId="57" fillId="0" borderId="7" applyNumberFormat="0" applyFill="0" applyAlignment="0" applyProtection="0"/>
    <xf numFmtId="0" fontId="58" fillId="32" borderId="0" applyNumberFormat="0" applyBorder="0" applyAlignment="0" applyProtection="0"/>
    <xf numFmtId="37" fontId="17" fillId="0" borderId="0">
      <alignment/>
      <protection/>
    </xf>
    <xf numFmtId="196" fontId="1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90" fontId="4" fillId="0" borderId="0">
      <alignment/>
      <protection/>
    </xf>
    <xf numFmtId="0" fontId="0" fillId="33" borderId="8" applyNumberFormat="0" applyFont="0" applyAlignment="0" applyProtection="0"/>
    <xf numFmtId="0" fontId="59" fillId="26" borderId="9" applyNumberForma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" fontId="1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</cellStyleXfs>
  <cellXfs count="198">
    <xf numFmtId="190" fontId="0" fillId="0" borderId="0" xfId="0" applyAlignment="1">
      <alignment/>
    </xf>
    <xf numFmtId="190" fontId="6" fillId="0" borderId="0" xfId="0" applyFont="1" applyFill="1" applyAlignment="1">
      <alignment/>
    </xf>
    <xf numFmtId="37" fontId="6" fillId="0" borderId="0" xfId="0" applyNumberFormat="1" applyFont="1" applyFill="1" applyAlignment="1">
      <alignment vertical="center"/>
    </xf>
    <xf numFmtId="190" fontId="9" fillId="0" borderId="0" xfId="0" applyFont="1" applyFill="1" applyAlignment="1">
      <alignment horizontal="center"/>
    </xf>
    <xf numFmtId="37" fontId="6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center"/>
    </xf>
    <xf numFmtId="190" fontId="10" fillId="34" borderId="0" xfId="66" applyFont="1" applyFill="1" applyAlignment="1">
      <alignment vertical="top"/>
      <protection/>
    </xf>
    <xf numFmtId="190" fontId="10" fillId="34" borderId="0" xfId="66" applyFont="1" applyFill="1" applyAlignment="1">
      <alignment horizontal="center" vertical="top"/>
      <protection/>
    </xf>
    <xf numFmtId="190" fontId="10" fillId="34" borderId="0" xfId="66" applyFont="1" applyFill="1" applyBorder="1" applyAlignment="1">
      <alignment vertical="top"/>
      <protection/>
    </xf>
    <xf numFmtId="190" fontId="10" fillId="34" borderId="0" xfId="66" applyFont="1" applyFill="1" applyBorder="1" applyAlignment="1">
      <alignment horizontal="center" vertical="top"/>
      <protection/>
    </xf>
    <xf numFmtId="0" fontId="10" fillId="0" borderId="0" xfId="65" applyFont="1" applyBorder="1" applyAlignment="1">
      <alignment horizontal="right" vertical="top"/>
      <protection/>
    </xf>
    <xf numFmtId="190" fontId="10" fillId="34" borderId="12" xfId="66" applyFont="1" applyFill="1" applyBorder="1" applyAlignment="1">
      <alignment horizontal="center" vertical="top"/>
      <protection/>
    </xf>
    <xf numFmtId="190" fontId="11" fillId="0" borderId="0" xfId="0" applyFont="1" applyAlignment="1">
      <alignment horizontal="center" vertical="top"/>
    </xf>
    <xf numFmtId="190" fontId="12" fillId="0" borderId="0" xfId="0" applyFont="1" applyFill="1" applyAlignment="1">
      <alignment/>
    </xf>
    <xf numFmtId="193" fontId="10" fillId="0" borderId="0" xfId="0" applyNumberFormat="1" applyFont="1" applyFill="1" applyBorder="1" applyAlignment="1">
      <alignment horizontal="right"/>
    </xf>
    <xf numFmtId="190" fontId="10" fillId="0" borderId="0" xfId="0" applyFont="1" applyFill="1" applyAlignment="1">
      <alignment/>
    </xf>
    <xf numFmtId="190" fontId="10" fillId="0" borderId="0" xfId="0" applyFont="1" applyFill="1" applyBorder="1" applyAlignment="1">
      <alignment horizontal="right"/>
    </xf>
    <xf numFmtId="193" fontId="10" fillId="0" borderId="13" xfId="0" applyNumberFormat="1" applyFont="1" applyFill="1" applyBorder="1" applyAlignment="1">
      <alignment horizontal="right"/>
    </xf>
    <xf numFmtId="193" fontId="10" fillId="0" borderId="0" xfId="0" applyNumberFormat="1" applyFont="1" applyFill="1" applyBorder="1" applyAlignment="1">
      <alignment horizontal="center" vertical="top"/>
    </xf>
    <xf numFmtId="193" fontId="10" fillId="0" borderId="0" xfId="0" applyNumberFormat="1" applyFont="1" applyFill="1" applyBorder="1" applyAlignment="1">
      <alignment horizontal="right" vertical="top"/>
    </xf>
    <xf numFmtId="190" fontId="10" fillId="0" borderId="0" xfId="0" applyFont="1" applyFill="1" applyAlignment="1">
      <alignment vertical="top"/>
    </xf>
    <xf numFmtId="193" fontId="10" fillId="0" borderId="0" xfId="0" applyNumberFormat="1" applyFont="1" applyFill="1" applyBorder="1" applyAlignment="1">
      <alignment vertical="top"/>
    </xf>
    <xf numFmtId="190" fontId="10" fillId="0" borderId="0" xfId="0" applyFont="1" applyFill="1" applyBorder="1" applyAlignment="1">
      <alignment horizontal="right" vertical="top"/>
    </xf>
    <xf numFmtId="190" fontId="13" fillId="0" borderId="0" xfId="0" applyFont="1" applyFill="1" applyAlignment="1">
      <alignment horizontal="center" vertical="top"/>
    </xf>
    <xf numFmtId="43" fontId="10" fillId="0" borderId="0" xfId="42" applyFont="1" applyFill="1" applyBorder="1" applyAlignment="1">
      <alignment horizontal="right" vertical="top"/>
    </xf>
    <xf numFmtId="190" fontId="10" fillId="0" borderId="0" xfId="0" applyFont="1" applyFill="1" applyAlignment="1">
      <alignment horizontal="right" vertical="top"/>
    </xf>
    <xf numFmtId="191" fontId="10" fillId="0" borderId="0" xfId="42" applyNumberFormat="1" applyFont="1" applyFill="1" applyBorder="1" applyAlignment="1">
      <alignment vertical="top"/>
    </xf>
    <xf numFmtId="190" fontId="12" fillId="0" borderId="0" xfId="0" applyFont="1" applyFill="1" applyAlignment="1">
      <alignment vertical="top"/>
    </xf>
    <xf numFmtId="193" fontId="10" fillId="0" borderId="14" xfId="0" applyNumberFormat="1" applyFont="1" applyFill="1" applyBorder="1" applyAlignment="1">
      <alignment horizontal="right" vertical="top"/>
    </xf>
    <xf numFmtId="37" fontId="10" fillId="34" borderId="0" xfId="66" applyNumberFormat="1" applyFont="1" applyFill="1" applyAlignment="1">
      <alignment vertical="top"/>
      <protection/>
    </xf>
    <xf numFmtId="190" fontId="10" fillId="0" borderId="0" xfId="0" applyFont="1" applyAlignment="1">
      <alignment vertical="top"/>
    </xf>
    <xf numFmtId="193" fontId="10" fillId="0" borderId="13" xfId="0" applyNumberFormat="1" applyFont="1" applyFill="1" applyBorder="1" applyAlignment="1">
      <alignment horizontal="center"/>
    </xf>
    <xf numFmtId="43" fontId="10" fillId="0" borderId="0" xfId="42" applyFont="1" applyFill="1" applyBorder="1" applyAlignment="1">
      <alignment vertical="top"/>
    </xf>
    <xf numFmtId="190" fontId="13" fillId="0" borderId="0" xfId="0" applyFont="1" applyFill="1" applyAlignment="1">
      <alignment horizontal="center"/>
    </xf>
    <xf numFmtId="190" fontId="7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190" fontId="11" fillId="0" borderId="0" xfId="0" applyFont="1" applyBorder="1" applyAlignment="1">
      <alignment horizontal="center" vertical="top"/>
    </xf>
    <xf numFmtId="190" fontId="13" fillId="0" borderId="0" xfId="0" applyFont="1" applyFill="1" applyBorder="1" applyAlignment="1">
      <alignment horizontal="center"/>
    </xf>
    <xf numFmtId="190" fontId="10" fillId="0" borderId="0" xfId="0" applyFont="1" applyFill="1" applyBorder="1" applyAlignment="1">
      <alignment/>
    </xf>
    <xf numFmtId="190" fontId="10" fillId="0" borderId="0" xfId="0" applyFont="1" applyFill="1" applyBorder="1" applyAlignment="1">
      <alignment vertical="top"/>
    </xf>
    <xf numFmtId="190" fontId="13" fillId="0" borderId="0" xfId="0" applyFont="1" applyFill="1" applyBorder="1" applyAlignment="1">
      <alignment horizontal="center" vertical="top"/>
    </xf>
    <xf numFmtId="190" fontId="10" fillId="34" borderId="13" xfId="66" applyFont="1" applyFill="1" applyBorder="1" applyAlignment="1">
      <alignment vertical="top"/>
      <protection/>
    </xf>
    <xf numFmtId="193" fontId="10" fillId="0" borderId="12" xfId="0" applyNumberFormat="1" applyFont="1" applyFill="1" applyBorder="1" applyAlignment="1">
      <alignment horizontal="right"/>
    </xf>
    <xf numFmtId="193" fontId="10" fillId="0" borderId="12" xfId="0" applyNumberFormat="1" applyFont="1" applyFill="1" applyBorder="1" applyAlignment="1">
      <alignment horizontal="center" vertical="top"/>
    </xf>
    <xf numFmtId="193" fontId="10" fillId="0" borderId="12" xfId="0" applyNumberFormat="1" applyFont="1" applyFill="1" applyBorder="1" applyAlignment="1">
      <alignment vertical="top"/>
    </xf>
    <xf numFmtId="37" fontId="10" fillId="0" borderId="12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right"/>
    </xf>
    <xf numFmtId="37" fontId="10" fillId="0" borderId="0" xfId="0" applyNumberFormat="1" applyFont="1" applyFill="1" applyAlignment="1">
      <alignment/>
    </xf>
    <xf numFmtId="37" fontId="10" fillId="0" borderId="12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 vertical="center"/>
    </xf>
    <xf numFmtId="190" fontId="6" fillId="0" borderId="0" xfId="0" applyFont="1" applyFill="1" applyAlignment="1">
      <alignment vertical="center"/>
    </xf>
    <xf numFmtId="190" fontId="7" fillId="0" borderId="0" xfId="0" applyFont="1" applyFill="1" applyAlignment="1">
      <alignment vertical="center"/>
    </xf>
    <xf numFmtId="190" fontId="8" fillId="0" borderId="0" xfId="0" applyFont="1" applyFill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190" fontId="7" fillId="0" borderId="0" xfId="66" applyFont="1" applyFill="1" applyAlignment="1">
      <alignment horizontal="left" vertical="center"/>
      <protection/>
    </xf>
    <xf numFmtId="37" fontId="6" fillId="0" borderId="0" xfId="66" applyNumberFormat="1" applyFont="1" applyFill="1" applyAlignment="1">
      <alignment vertical="center"/>
      <protection/>
    </xf>
    <xf numFmtId="190" fontId="6" fillId="0" borderId="0" xfId="66" applyFont="1" applyFill="1" applyAlignment="1">
      <alignment vertical="center"/>
      <protection/>
    </xf>
    <xf numFmtId="190" fontId="6" fillId="0" borderId="0" xfId="66" applyFont="1" applyFill="1" applyBorder="1" applyAlignment="1">
      <alignment vertical="center"/>
      <protection/>
    </xf>
    <xf numFmtId="37" fontId="6" fillId="0" borderId="0" xfId="66" applyNumberFormat="1" applyFont="1" applyFill="1" applyBorder="1" applyAlignment="1">
      <alignment vertical="center"/>
      <protection/>
    </xf>
    <xf numFmtId="37" fontId="6" fillId="0" borderId="0" xfId="66" applyNumberFormat="1" applyFont="1" applyFill="1" applyBorder="1" applyAlignment="1">
      <alignment horizontal="center" vertical="center"/>
      <protection/>
    </xf>
    <xf numFmtId="37" fontId="6" fillId="0" borderId="0" xfId="65" applyNumberFormat="1" applyFont="1" applyFill="1" applyBorder="1" applyAlignment="1">
      <alignment horizontal="right" vertical="center"/>
      <protection/>
    </xf>
    <xf numFmtId="37" fontId="6" fillId="0" borderId="12" xfId="66" applyNumberFormat="1" applyFont="1" applyFill="1" applyBorder="1" applyAlignment="1">
      <alignment horizontal="center" vertical="center"/>
      <protection/>
    </xf>
    <xf numFmtId="190" fontId="6" fillId="0" borderId="0" xfId="66" applyFont="1" applyFill="1" applyAlignment="1">
      <alignment horizontal="center" vertical="center"/>
      <protection/>
    </xf>
    <xf numFmtId="190" fontId="6" fillId="0" borderId="0" xfId="66" applyFont="1" applyFill="1" applyBorder="1" applyAlignment="1">
      <alignment horizontal="center" vertical="center"/>
      <protection/>
    </xf>
    <xf numFmtId="37" fontId="6" fillId="0" borderId="0" xfId="66" applyNumberFormat="1" applyFont="1" applyFill="1" applyAlignment="1">
      <alignment horizontal="center" vertical="center"/>
      <protection/>
    </xf>
    <xf numFmtId="190" fontId="9" fillId="0" borderId="0" xfId="0" applyFont="1" applyFill="1" applyAlignment="1">
      <alignment horizontal="center" vertical="center"/>
    </xf>
    <xf numFmtId="41" fontId="6" fillId="0" borderId="0" xfId="42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190" fontId="6" fillId="0" borderId="0" xfId="0" applyFont="1" applyFill="1" applyBorder="1" applyAlignment="1">
      <alignment vertical="center"/>
    </xf>
    <xf numFmtId="190" fontId="19" fillId="0" borderId="0" xfId="0" applyFont="1" applyFill="1" applyAlignment="1">
      <alignment horizontal="left"/>
    </xf>
    <xf numFmtId="190" fontId="4" fillId="0" borderId="0" xfId="0" applyFont="1" applyFill="1" applyAlignment="1">
      <alignment/>
    </xf>
    <xf numFmtId="37" fontId="19" fillId="0" borderId="0" xfId="0" applyNumberFormat="1" applyFont="1" applyFill="1" applyAlignment="1">
      <alignment horizontal="left"/>
    </xf>
    <xf numFmtId="19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left"/>
    </xf>
    <xf numFmtId="190" fontId="19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190" fontId="20" fillId="0" borderId="0" xfId="0" applyFont="1" applyFill="1" applyAlignment="1">
      <alignment horizontal="center"/>
    </xf>
    <xf numFmtId="19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190" fontId="4" fillId="0" borderId="0" xfId="0" applyFont="1" applyFill="1" applyAlignment="1">
      <alignment horizontal="right"/>
    </xf>
    <xf numFmtId="190" fontId="20" fillId="0" borderId="0" xfId="0" applyFont="1" applyFill="1" applyAlignment="1">
      <alignment horizontal="right"/>
    </xf>
    <xf numFmtId="37" fontId="4" fillId="0" borderId="0" xfId="0" applyNumberFormat="1" applyFont="1" applyFill="1" applyBorder="1" applyAlignment="1">
      <alignment/>
    </xf>
    <xf numFmtId="190" fontId="4" fillId="0" borderId="0" xfId="0" applyFont="1" applyFill="1" applyAlignment="1">
      <alignment horizontal="justify" wrapText="1"/>
    </xf>
    <xf numFmtId="190" fontId="21" fillId="0" borderId="0" xfId="0" applyFont="1" applyFill="1" applyAlignment="1">
      <alignment horizontal="center" wrapText="1"/>
    </xf>
    <xf numFmtId="190" fontId="4" fillId="0" borderId="0" xfId="0" applyFont="1" applyFill="1" applyAlignment="1">
      <alignment horizontal="center" wrapText="1"/>
    </xf>
    <xf numFmtId="41" fontId="4" fillId="0" borderId="0" xfId="0" applyNumberFormat="1" applyFont="1" applyFill="1" applyBorder="1" applyAlignment="1">
      <alignment horizontal="right"/>
    </xf>
    <xf numFmtId="190" fontId="21" fillId="0" borderId="0" xfId="0" applyNumberFormat="1" applyFont="1" applyFill="1" applyAlignment="1">
      <alignment horizontal="center" wrapText="1"/>
    </xf>
    <xf numFmtId="41" fontId="4" fillId="0" borderId="15" xfId="0" applyNumberFormat="1" applyFont="1" applyFill="1" applyBorder="1" applyAlignment="1">
      <alignment horizontal="right"/>
    </xf>
    <xf numFmtId="190" fontId="21" fillId="0" borderId="0" xfId="0" applyFont="1" applyFill="1" applyAlignment="1">
      <alignment horizontal="center"/>
    </xf>
    <xf numFmtId="41" fontId="4" fillId="0" borderId="16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7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192" fontId="21" fillId="0" borderId="0" xfId="0" applyNumberFormat="1" applyFont="1" applyFill="1" applyAlignment="1">
      <alignment horizontal="center" wrapText="1"/>
    </xf>
    <xf numFmtId="190" fontId="21" fillId="0" borderId="0" xfId="0" applyFont="1" applyFill="1" applyAlignment="1">
      <alignment wrapText="1"/>
    </xf>
    <xf numFmtId="41" fontId="4" fillId="0" borderId="13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/>
    </xf>
    <xf numFmtId="19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90" fontId="4" fillId="0" borderId="0" xfId="0" applyFont="1" applyFill="1" applyAlignment="1">
      <alignment horizontal="justify"/>
    </xf>
    <xf numFmtId="37" fontId="4" fillId="0" borderId="0" xfId="0" applyNumberFormat="1" applyFont="1" applyFill="1" applyBorder="1" applyAlignment="1">
      <alignment horizontal="right"/>
    </xf>
    <xf numFmtId="41" fontId="4" fillId="0" borderId="18" xfId="0" applyNumberFormat="1" applyFont="1" applyFill="1" applyBorder="1" applyAlignment="1">
      <alignment horizontal="right"/>
    </xf>
    <xf numFmtId="190" fontId="21" fillId="0" borderId="0" xfId="0" applyFont="1" applyFill="1" applyBorder="1" applyAlignment="1">
      <alignment horizontal="center" wrapText="1"/>
    </xf>
    <xf numFmtId="190" fontId="4" fillId="0" borderId="0" xfId="0" applyFont="1" applyFill="1" applyBorder="1" applyAlignment="1">
      <alignment/>
    </xf>
    <xf numFmtId="41" fontId="22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 applyAlignment="1">
      <alignment horizontal="right"/>
    </xf>
    <xf numFmtId="38" fontId="4" fillId="0" borderId="0" xfId="0" applyNumberFormat="1" applyFont="1" applyFill="1" applyAlignment="1">
      <alignment/>
    </xf>
    <xf numFmtId="38" fontId="4" fillId="0" borderId="19" xfId="0" applyNumberFormat="1" applyFont="1" applyFill="1" applyBorder="1" applyAlignment="1">
      <alignment/>
    </xf>
    <xf numFmtId="37" fontId="4" fillId="0" borderId="0" xfId="0" applyNumberFormat="1" applyFont="1" applyFill="1" applyAlignment="1" quotePrefix="1">
      <alignment horizontal="right"/>
    </xf>
    <xf numFmtId="37" fontId="4" fillId="0" borderId="0" xfId="0" applyNumberFormat="1" applyFont="1" applyFill="1" applyAlignment="1">
      <alignment horizontal="centerContinuous"/>
    </xf>
    <xf numFmtId="190" fontId="4" fillId="0" borderId="0" xfId="0" applyFont="1" applyFill="1" applyAlignment="1">
      <alignment horizontal="centerContinuous"/>
    </xf>
    <xf numFmtId="0" fontId="4" fillId="0" borderId="12" xfId="0" applyNumberFormat="1" applyFont="1" applyFill="1" applyBorder="1" applyAlignment="1">
      <alignment horizontal="center"/>
    </xf>
    <xf numFmtId="190" fontId="19" fillId="0" borderId="0" xfId="0" applyFont="1" applyFill="1" applyAlignment="1">
      <alignment horizontal="justify" wrapText="1"/>
    </xf>
    <xf numFmtId="0" fontId="21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/>
    </xf>
    <xf numFmtId="214" fontId="23" fillId="0" borderId="0" xfId="0" applyNumberFormat="1" applyFont="1" applyFill="1" applyAlignment="1">
      <alignment horizontal="right"/>
    </xf>
    <xf numFmtId="1" fontId="23" fillId="0" borderId="0" xfId="0" applyNumberFormat="1" applyFont="1" applyFill="1" applyAlignment="1">
      <alignment horizontal="center"/>
    </xf>
    <xf numFmtId="41" fontId="23" fillId="0" borderId="0" xfId="0" applyNumberFormat="1" applyFont="1" applyFill="1" applyBorder="1" applyAlignment="1">
      <alignment horizontal="right"/>
    </xf>
    <xf numFmtId="214" fontId="23" fillId="0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/>
    </xf>
    <xf numFmtId="214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 horizontal="right"/>
    </xf>
    <xf numFmtId="49" fontId="24" fillId="0" borderId="0" xfId="0" applyNumberFormat="1" applyFont="1" applyFill="1" applyAlignment="1">
      <alignment/>
    </xf>
    <xf numFmtId="190" fontId="21" fillId="0" borderId="0" xfId="0" applyNumberFormat="1" applyFont="1" applyFill="1" applyBorder="1" applyAlignment="1">
      <alignment horizontal="center" wrapText="1"/>
    </xf>
    <xf numFmtId="190" fontId="4" fillId="0" borderId="0" xfId="0" applyNumberFormat="1" applyFont="1" applyFill="1" applyAlignment="1">
      <alignment/>
    </xf>
    <xf numFmtId="190" fontId="6" fillId="0" borderId="12" xfId="66" applyFont="1" applyFill="1" applyBorder="1" applyAlignment="1">
      <alignment horizontal="center" vertical="center"/>
      <protection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24" fillId="0" borderId="12" xfId="0" applyNumberFormat="1" applyFont="1" applyFill="1" applyBorder="1" applyAlignment="1">
      <alignment horizontal="right"/>
    </xf>
    <xf numFmtId="41" fontId="24" fillId="0" borderId="17" xfId="0" applyNumberFormat="1" applyFont="1" applyFill="1" applyBorder="1" applyAlignment="1">
      <alignment horizontal="right"/>
    </xf>
    <xf numFmtId="41" fontId="24" fillId="0" borderId="18" xfId="0" applyNumberFormat="1" applyFont="1" applyFill="1" applyBorder="1" applyAlignment="1">
      <alignment horizontal="right"/>
    </xf>
    <xf numFmtId="41" fontId="24" fillId="0" borderId="14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right" vertical="center"/>
    </xf>
    <xf numFmtId="190" fontId="9" fillId="0" borderId="0" xfId="0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horizontal="right"/>
    </xf>
    <xf numFmtId="41" fontId="4" fillId="0" borderId="12" xfId="42" applyNumberFormat="1" applyFont="1" applyFill="1" applyBorder="1" applyAlignment="1">
      <alignment horizontal="right"/>
    </xf>
    <xf numFmtId="217" fontId="4" fillId="0" borderId="0" xfId="0" applyNumberFormat="1" applyFont="1" applyFill="1" applyAlignment="1">
      <alignment/>
    </xf>
    <xf numFmtId="37" fontId="6" fillId="0" borderId="13" xfId="66" applyNumberFormat="1" applyFont="1" applyFill="1" applyBorder="1" applyAlignment="1">
      <alignment vertical="center"/>
      <protection/>
    </xf>
    <xf numFmtId="37" fontId="6" fillId="0" borderId="12" xfId="66" applyNumberFormat="1" applyFont="1" applyFill="1" applyBorder="1" applyAlignment="1">
      <alignment horizontal="centerContinuous" vertical="center" wrapText="1"/>
      <protection/>
    </xf>
    <xf numFmtId="37" fontId="6" fillId="0" borderId="0" xfId="66" applyNumberFormat="1" applyFont="1" applyFill="1" applyBorder="1" applyAlignment="1">
      <alignment vertical="center" wrapText="1"/>
      <protection/>
    </xf>
    <xf numFmtId="37" fontId="6" fillId="0" borderId="12" xfId="66" applyNumberFormat="1" applyFont="1" applyFill="1" applyBorder="1" applyAlignment="1">
      <alignment horizontal="centerContinuous" vertical="center"/>
      <protection/>
    </xf>
    <xf numFmtId="16" fontId="4" fillId="0" borderId="12" xfId="0" applyNumberFormat="1" applyFont="1" applyFill="1" applyBorder="1" applyAlignment="1">
      <alignment horizontal="center"/>
    </xf>
    <xf numFmtId="190" fontId="4" fillId="0" borderId="12" xfId="0" applyFont="1" applyFill="1" applyBorder="1" applyAlignment="1">
      <alignment horizontal="center"/>
    </xf>
    <xf numFmtId="41" fontId="4" fillId="0" borderId="18" xfId="42" applyNumberFormat="1" applyFont="1" applyFill="1" applyBorder="1" applyAlignment="1">
      <alignment horizontal="right"/>
    </xf>
    <xf numFmtId="41" fontId="4" fillId="0" borderId="0" xfId="42" applyNumberFormat="1" applyFont="1" applyFill="1" applyBorder="1" applyAlignment="1">
      <alignment horizontal="right"/>
    </xf>
    <xf numFmtId="39" fontId="4" fillId="0" borderId="18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41" fontId="4" fillId="0" borderId="0" xfId="42" applyNumberFormat="1" applyFont="1" applyFill="1" applyAlignment="1">
      <alignment horizontal="right"/>
    </xf>
    <xf numFmtId="190" fontId="7" fillId="0" borderId="0" xfId="66" applyFont="1" applyFill="1" applyAlignment="1">
      <alignment vertical="center"/>
      <protection/>
    </xf>
    <xf numFmtId="49" fontId="25" fillId="0" borderId="0" xfId="0" applyNumberFormat="1" applyFont="1" applyFill="1" applyBorder="1" applyAlignment="1">
      <alignment horizontal="right"/>
    </xf>
    <xf numFmtId="190" fontId="25" fillId="0" borderId="0" xfId="0" applyFont="1" applyFill="1" applyAlignment="1">
      <alignment/>
    </xf>
    <xf numFmtId="37" fontId="25" fillId="0" borderId="0" xfId="0" applyNumberFormat="1" applyFont="1" applyFill="1" applyBorder="1" applyAlignment="1">
      <alignment/>
    </xf>
    <xf numFmtId="190" fontId="25" fillId="0" borderId="0" xfId="0" applyFont="1" applyFill="1" applyBorder="1" applyAlignment="1">
      <alignment/>
    </xf>
    <xf numFmtId="190" fontId="26" fillId="0" borderId="0" xfId="0" applyFont="1" applyFill="1" applyAlignment="1">
      <alignment horizontal="center"/>
    </xf>
    <xf numFmtId="190" fontId="25" fillId="0" borderId="0" xfId="0" applyFont="1" applyFill="1" applyAlignment="1">
      <alignment horizontal="center"/>
    </xf>
    <xf numFmtId="37" fontId="25" fillId="0" borderId="0" xfId="0" applyNumberFormat="1" applyFont="1" applyFill="1" applyAlignment="1">
      <alignment horizontal="center"/>
    </xf>
    <xf numFmtId="37" fontId="25" fillId="0" borderId="0" xfId="0" applyNumberFormat="1" applyFont="1" applyFill="1" applyAlignment="1">
      <alignment/>
    </xf>
    <xf numFmtId="37" fontId="25" fillId="0" borderId="0" xfId="0" applyNumberFormat="1" applyFont="1" applyFill="1" applyBorder="1" applyAlignment="1">
      <alignment horizontal="right"/>
    </xf>
    <xf numFmtId="190" fontId="25" fillId="0" borderId="0" xfId="0" applyFont="1" applyFill="1" applyAlignment="1">
      <alignment vertical="center"/>
    </xf>
    <xf numFmtId="37" fontId="25" fillId="0" borderId="0" xfId="66" applyNumberFormat="1" applyFont="1" applyFill="1" applyAlignment="1">
      <alignment vertical="center"/>
      <protection/>
    </xf>
    <xf numFmtId="37" fontId="25" fillId="0" borderId="0" xfId="66" applyNumberFormat="1" applyFont="1" applyFill="1" applyBorder="1" applyAlignment="1">
      <alignment vertical="center"/>
      <protection/>
    </xf>
    <xf numFmtId="190" fontId="25" fillId="0" borderId="0" xfId="66" applyFont="1" applyFill="1" applyAlignment="1">
      <alignment vertical="center"/>
      <protection/>
    </xf>
    <xf numFmtId="41" fontId="25" fillId="0" borderId="0" xfId="0" applyNumberFormat="1" applyFont="1" applyFill="1" applyBorder="1" applyAlignment="1">
      <alignment horizontal="right"/>
    </xf>
    <xf numFmtId="41" fontId="25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>
      <alignment horizontal="right"/>
    </xf>
    <xf numFmtId="37" fontId="6" fillId="0" borderId="12" xfId="66" applyNumberFormat="1" applyFont="1" applyFill="1" applyBorder="1" applyAlignment="1">
      <alignment vertical="center"/>
      <protection/>
    </xf>
    <xf numFmtId="0" fontId="6" fillId="0" borderId="0" xfId="0" applyNumberFormat="1" applyFont="1" applyFill="1" applyAlignment="1">
      <alignment vertical="top"/>
    </xf>
    <xf numFmtId="41" fontId="6" fillId="0" borderId="12" xfId="0" applyNumberFormat="1" applyFont="1" applyFill="1" applyBorder="1" applyAlignment="1">
      <alignment horizontal="right" vertical="center"/>
    </xf>
    <xf numFmtId="37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191" fontId="4" fillId="0" borderId="0" xfId="0" applyNumberFormat="1" applyFont="1" applyFill="1" applyBorder="1" applyAlignment="1">
      <alignment horizontal="right"/>
    </xf>
    <xf numFmtId="191" fontId="4" fillId="0" borderId="18" xfId="0" applyNumberFormat="1" applyFont="1" applyFill="1" applyBorder="1" applyAlignment="1">
      <alignment horizontal="right"/>
    </xf>
    <xf numFmtId="191" fontId="4" fillId="0" borderId="14" xfId="0" applyNumberFormat="1" applyFont="1" applyFill="1" applyBorder="1" applyAlignment="1">
      <alignment horizontal="right"/>
    </xf>
    <xf numFmtId="190" fontId="2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190" fontId="63" fillId="0" borderId="0" xfId="0" applyFont="1" applyFill="1" applyAlignment="1">
      <alignment/>
    </xf>
    <xf numFmtId="41" fontId="4" fillId="0" borderId="0" xfId="0" applyNumberFormat="1" applyFont="1" applyFill="1" applyBorder="1" applyAlignment="1">
      <alignment horizontal="center"/>
    </xf>
    <xf numFmtId="41" fontId="4" fillId="0" borderId="20" xfId="0" applyNumberFormat="1" applyFont="1" applyFill="1" applyBorder="1" applyAlignment="1">
      <alignment horizontal="right"/>
    </xf>
    <xf numFmtId="37" fontId="27" fillId="0" borderId="0" xfId="66" applyNumberFormat="1" applyFont="1" applyFill="1" applyAlignment="1">
      <alignment vertical="center"/>
      <protection/>
    </xf>
    <xf numFmtId="190" fontId="27" fillId="0" borderId="0" xfId="0" applyFont="1" applyFill="1" applyAlignment="1">
      <alignment vertical="center"/>
    </xf>
    <xf numFmtId="37" fontId="27" fillId="0" borderId="0" xfId="66" applyNumberFormat="1" applyFont="1" applyFill="1" applyBorder="1" applyAlignment="1">
      <alignment vertical="center"/>
      <protection/>
    </xf>
    <xf numFmtId="190" fontId="27" fillId="0" borderId="0" xfId="66" applyFont="1" applyFill="1" applyAlignment="1">
      <alignment vertical="center"/>
      <protection/>
    </xf>
    <xf numFmtId="37" fontId="4" fillId="0" borderId="12" xfId="0" applyNumberFormat="1" applyFont="1" applyFill="1" applyBorder="1" applyAlignment="1">
      <alignment horizontal="center"/>
    </xf>
    <xf numFmtId="37" fontId="6" fillId="0" borderId="17" xfId="66" applyNumberFormat="1" applyFont="1" applyFill="1" applyBorder="1" applyAlignment="1">
      <alignment horizontal="center" vertical="center"/>
      <protection/>
    </xf>
    <xf numFmtId="37" fontId="6" fillId="0" borderId="12" xfId="66" applyNumberFormat="1" applyFont="1" applyFill="1" applyBorder="1" applyAlignment="1">
      <alignment horizontal="center" vertical="center"/>
      <protection/>
    </xf>
    <xf numFmtId="190" fontId="10" fillId="34" borderId="17" xfId="66" applyFont="1" applyFill="1" applyBorder="1" applyAlignment="1">
      <alignment horizontal="center" vertical="top"/>
      <protection/>
    </xf>
    <xf numFmtId="190" fontId="10" fillId="34" borderId="0" xfId="66" applyFont="1" applyFill="1" applyAlignment="1">
      <alignment horizontal="center" vertical="top"/>
      <protection/>
    </xf>
    <xf numFmtId="190" fontId="10" fillId="34" borderId="12" xfId="66" applyFont="1" applyFill="1" applyBorder="1" applyAlignment="1">
      <alignment horizontal="center" vertical="top"/>
      <protection/>
    </xf>
    <xf numFmtId="190" fontId="10" fillId="34" borderId="0" xfId="66" applyFont="1" applyFill="1" applyAlignment="1" quotePrefix="1">
      <alignment horizontal="center" vertical="top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 3" xfId="64"/>
    <cellStyle name="Normal_CE-Thai" xfId="65"/>
    <cellStyle name="Normal_conso-Samitivej03-Accounts-A3112t" xfId="66"/>
    <cellStyle name="Note" xfId="67"/>
    <cellStyle name="Output" xfId="68"/>
    <cellStyle name="Percent" xfId="69"/>
    <cellStyle name="Percent [2]" xfId="70"/>
    <cellStyle name="Quantity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sites\Report\Audited%20Financial%20statement%20report\Conso\2013\Q3'13\BGH%20Q3'13\Q3'13%20BGH%20Conso\Q3'13%20BGH%20Cashflo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sites\Report\Audited%20Financial%20statement%20report\IFRS\Deferred%20tax\Q2'13\Deferred%20tax-Q2'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sites\Report\Audited%20Financial%20statement%20report\IFRS\Deferred%20tax\Q3'13\Deferred%20tax-Q3'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CL &amp; Paolo FS"/>
      <sheetName val="Conso BS"/>
      <sheetName val="CF-Conso"/>
      <sheetName val="Com BS"/>
      <sheetName val="CF-Com"/>
      <sheetName val="Loan"/>
      <sheetName val="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T-YE2011"/>
      <sheetName val="TB YE2011"/>
      <sheetName val="DT-Q12012"/>
      <sheetName val="TB Q12012"/>
      <sheetName val="DT-Q22012"/>
      <sheetName val="TB Q22012"/>
      <sheetName val="DT-YE2012"/>
      <sheetName val="TB YE2012"/>
      <sheetName val="DT-Q12013"/>
      <sheetName val="TB Q12013"/>
      <sheetName val="DT-Q22013"/>
      <sheetName val="TB Q22013"/>
      <sheetName val="Investment Tax BV Diff"/>
      <sheetName val="DT-YE2012 (old)"/>
      <sheetName val="FA FV2011"/>
      <sheetName val="Depre-FA"/>
      <sheetName val="ANL"/>
      <sheetName val="Overview"/>
      <sheetName val="Loss C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T-YE2011"/>
      <sheetName val="TB YE2011"/>
      <sheetName val="DT-Q12012"/>
      <sheetName val="TB Q12012"/>
      <sheetName val="DT-Q22012"/>
      <sheetName val="TB Q22012"/>
      <sheetName val="DT-Q32012"/>
      <sheetName val="TB Q32012"/>
      <sheetName val="DT-YE2012"/>
      <sheetName val="TB YE2012"/>
      <sheetName val="DT-Q12013"/>
      <sheetName val="TB Q12013"/>
      <sheetName val="DT-Q22013"/>
      <sheetName val="TB Q22013"/>
      <sheetName val="DT-Q32013"/>
      <sheetName val="TB Q32013"/>
      <sheetName val="Investment Tax BV Diff"/>
      <sheetName val="DT-YE2012 (old)"/>
      <sheetName val="FA FV2011"/>
      <sheetName val="Depre-FA"/>
      <sheetName val="ANL"/>
      <sheetName val="Overview"/>
      <sheetName val="Loss 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2"/>
  <sheetViews>
    <sheetView showGridLines="0" tabSelected="1" zoomScale="118" zoomScaleNormal="118" zoomScaleSheetLayoutView="100" zoomScalePageLayoutView="0" workbookViewId="0" topLeftCell="A1">
      <pane xSplit="6" topLeftCell="G1" activePane="topRight" state="frozen"/>
      <selection pane="topLeft" activeCell="A1" sqref="A1"/>
      <selection pane="topRight" activeCell="D5" sqref="D5"/>
    </sheetView>
  </sheetViews>
  <sheetFormatPr defaultColWidth="9.140625" defaultRowHeight="21.75"/>
  <cols>
    <col min="1" max="1" width="2.00390625" style="72" customWidth="1"/>
    <col min="2" max="3" width="2.7109375" style="72" customWidth="1"/>
    <col min="4" max="4" width="29.28125" style="72" customWidth="1"/>
    <col min="5" max="5" width="7.7109375" style="74" customWidth="1"/>
    <col min="6" max="6" width="0.42578125" style="74" customWidth="1"/>
    <col min="7" max="7" width="15.28125" style="75" customWidth="1"/>
    <col min="8" max="8" width="0.42578125" style="78" customWidth="1"/>
    <col min="9" max="9" width="14.140625" style="78" customWidth="1"/>
    <col min="10" max="10" width="0.42578125" style="78" customWidth="1"/>
    <col min="11" max="11" width="13.57421875" style="78" customWidth="1"/>
    <col min="12" max="12" width="0.42578125" style="78" customWidth="1"/>
    <col min="13" max="13" width="15.28125" style="78" customWidth="1"/>
    <col min="14" max="14" width="0.2890625" style="78" customWidth="1"/>
    <col min="15" max="15" width="14.421875" style="78" customWidth="1"/>
    <col min="16" max="16" width="0.85546875" style="72" customWidth="1"/>
    <col min="17" max="17" width="13.57421875" style="78" customWidth="1"/>
    <col min="18" max="18" width="0.85546875" style="72" customWidth="1"/>
    <col min="19" max="19" width="10.28125" style="72" bestFit="1" customWidth="1"/>
    <col min="20" max="20" width="9.140625" style="72" customWidth="1"/>
    <col min="21" max="21" width="12.28125" style="72" customWidth="1"/>
    <col min="22" max="22" width="9.421875" style="72" bestFit="1" customWidth="1"/>
    <col min="23" max="16384" width="9.140625" style="72" customWidth="1"/>
  </cols>
  <sheetData>
    <row r="1" spans="1:17" ht="21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Q1" s="71"/>
    </row>
    <row r="2" spans="1:17" ht="21">
      <c r="A2" s="71" t="s">
        <v>154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Q2" s="71"/>
    </row>
    <row r="3" spans="1:17" ht="2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3"/>
      <c r="O3" s="73"/>
      <c r="Q3" s="73"/>
    </row>
    <row r="4" spans="1:17" ht="21">
      <c r="A4" s="74"/>
      <c r="B4" s="74"/>
      <c r="C4" s="74"/>
      <c r="D4" s="74"/>
      <c r="H4" s="75"/>
      <c r="I4" s="75"/>
      <c r="J4" s="75"/>
      <c r="K4" s="75"/>
      <c r="L4" s="75"/>
      <c r="M4" s="75"/>
      <c r="N4" s="76"/>
      <c r="O4" s="112"/>
      <c r="Q4" s="112" t="s">
        <v>255</v>
      </c>
    </row>
    <row r="5" spans="7:17" s="77" customFormat="1" ht="21.75" customHeight="1">
      <c r="G5" s="191" t="s">
        <v>33</v>
      </c>
      <c r="H5" s="191"/>
      <c r="I5" s="191"/>
      <c r="J5" s="191"/>
      <c r="K5" s="191"/>
      <c r="L5" s="78"/>
      <c r="M5" s="191" t="s">
        <v>107</v>
      </c>
      <c r="N5" s="191"/>
      <c r="O5" s="191"/>
      <c r="P5" s="191"/>
      <c r="Q5" s="191"/>
    </row>
    <row r="6" spans="7:17" s="77" customFormat="1" ht="21">
      <c r="G6" s="82" t="s">
        <v>254</v>
      </c>
      <c r="H6" s="82"/>
      <c r="I6" s="82" t="s">
        <v>254</v>
      </c>
      <c r="J6" s="85"/>
      <c r="K6" s="82" t="s">
        <v>254</v>
      </c>
      <c r="L6" s="85"/>
      <c r="M6" s="82" t="s">
        <v>254</v>
      </c>
      <c r="N6" s="82"/>
      <c r="O6" s="82" t="s">
        <v>254</v>
      </c>
      <c r="Q6" s="82" t="s">
        <v>254</v>
      </c>
    </row>
    <row r="7" spans="5:17" ht="21">
      <c r="E7" s="79" t="s">
        <v>26</v>
      </c>
      <c r="F7" s="72"/>
      <c r="G7" s="149" t="s">
        <v>304</v>
      </c>
      <c r="H7" s="80"/>
      <c r="I7" s="150" t="s">
        <v>259</v>
      </c>
      <c r="J7" s="82"/>
      <c r="K7" s="150" t="s">
        <v>270</v>
      </c>
      <c r="L7" s="82"/>
      <c r="M7" s="149" t="s">
        <v>304</v>
      </c>
      <c r="N7" s="80"/>
      <c r="O7" s="150" t="s">
        <v>259</v>
      </c>
      <c r="Q7" s="150" t="s">
        <v>270</v>
      </c>
    </row>
    <row r="8" spans="5:17" ht="21">
      <c r="E8" s="79"/>
      <c r="F8" s="72"/>
      <c r="G8" s="80" t="s">
        <v>256</v>
      </c>
      <c r="H8" s="83"/>
      <c r="I8" s="80" t="s">
        <v>257</v>
      </c>
      <c r="J8" s="84"/>
      <c r="K8" s="80"/>
      <c r="L8" s="84"/>
      <c r="M8" s="80" t="s">
        <v>256</v>
      </c>
      <c r="N8" s="83"/>
      <c r="O8" s="80" t="s">
        <v>257</v>
      </c>
      <c r="Q8" s="80"/>
    </row>
    <row r="9" spans="5:17" ht="21">
      <c r="E9" s="79"/>
      <c r="F9" s="72"/>
      <c r="G9" s="80" t="s">
        <v>258</v>
      </c>
      <c r="H9" s="83"/>
      <c r="I9" s="80" t="s">
        <v>266</v>
      </c>
      <c r="J9" s="84"/>
      <c r="K9" s="80"/>
      <c r="L9" s="84"/>
      <c r="M9" s="80" t="s">
        <v>258</v>
      </c>
      <c r="N9" s="83"/>
      <c r="O9" s="80" t="s">
        <v>266</v>
      </c>
      <c r="Q9" s="80"/>
    </row>
    <row r="10" spans="1:17" ht="21">
      <c r="A10" s="71" t="s">
        <v>0</v>
      </c>
      <c r="E10" s="80"/>
      <c r="F10" s="80"/>
      <c r="G10" s="82"/>
      <c r="I10" s="85"/>
      <c r="J10" s="82"/>
      <c r="K10" s="85"/>
      <c r="L10" s="82"/>
      <c r="M10" s="82"/>
      <c r="N10" s="75"/>
      <c r="O10" s="85"/>
      <c r="Q10" s="85"/>
    </row>
    <row r="11" ht="21">
      <c r="A11" s="77" t="s">
        <v>1</v>
      </c>
    </row>
    <row r="12" spans="1:17" ht="21">
      <c r="A12" s="72" t="s">
        <v>42</v>
      </c>
      <c r="D12" s="86"/>
      <c r="E12" s="87"/>
      <c r="F12" s="88"/>
      <c r="G12" s="89">
        <v>4800312</v>
      </c>
      <c r="H12" s="89"/>
      <c r="I12" s="89">
        <v>3589576</v>
      </c>
      <c r="J12" s="89"/>
      <c r="K12" s="89">
        <v>3875733</v>
      </c>
      <c r="L12" s="89"/>
      <c r="M12" s="89">
        <v>1887505</v>
      </c>
      <c r="N12" s="89"/>
      <c r="O12" s="89">
        <v>1567094</v>
      </c>
      <c r="Q12" s="89">
        <v>1520307</v>
      </c>
    </row>
    <row r="13" spans="1:17" ht="21">
      <c r="A13" s="72" t="s">
        <v>177</v>
      </c>
      <c r="D13" s="86"/>
      <c r="E13" s="90"/>
      <c r="F13" s="88"/>
      <c r="G13" s="89">
        <v>69437</v>
      </c>
      <c r="H13" s="89"/>
      <c r="I13" s="89">
        <v>267768</v>
      </c>
      <c r="J13" s="89"/>
      <c r="K13" s="89">
        <v>464366</v>
      </c>
      <c r="L13" s="89"/>
      <c r="M13" s="89">
        <v>13</v>
      </c>
      <c r="N13" s="89"/>
      <c r="O13" s="89">
        <v>10</v>
      </c>
      <c r="Q13" s="89">
        <v>10</v>
      </c>
    </row>
    <row r="14" spans="1:17" ht="21">
      <c r="A14" s="72" t="s">
        <v>205</v>
      </c>
      <c r="D14" s="86"/>
      <c r="E14" s="87" t="s">
        <v>267</v>
      </c>
      <c r="F14" s="88"/>
      <c r="G14" s="89">
        <v>4770269</v>
      </c>
      <c r="H14" s="89"/>
      <c r="I14" s="89">
        <v>4287064</v>
      </c>
      <c r="J14" s="89"/>
      <c r="K14" s="89">
        <v>3377112</v>
      </c>
      <c r="L14" s="89"/>
      <c r="M14" s="89">
        <v>890410</v>
      </c>
      <c r="N14" s="89"/>
      <c r="O14" s="89">
        <v>962105</v>
      </c>
      <c r="Q14" s="89">
        <v>829290</v>
      </c>
    </row>
    <row r="15" spans="1:17" ht="21">
      <c r="A15" s="72" t="s">
        <v>223</v>
      </c>
      <c r="D15" s="86"/>
      <c r="E15" s="87">
        <v>6</v>
      </c>
      <c r="F15" s="88"/>
      <c r="G15" s="89">
        <v>0</v>
      </c>
      <c r="H15" s="89"/>
      <c r="I15" s="89">
        <v>11269</v>
      </c>
      <c r="J15" s="89"/>
      <c r="K15" s="89">
        <v>0</v>
      </c>
      <c r="L15" s="89"/>
      <c r="M15" s="89">
        <v>0</v>
      </c>
      <c r="N15" s="89"/>
      <c r="O15" s="89">
        <v>7798</v>
      </c>
      <c r="Q15" s="89">
        <v>0</v>
      </c>
    </row>
    <row r="16" spans="1:17" ht="21">
      <c r="A16" s="72" t="s">
        <v>75</v>
      </c>
      <c r="D16" s="86"/>
      <c r="E16" s="87">
        <v>6</v>
      </c>
      <c r="F16" s="88"/>
      <c r="G16" s="89">
        <v>0</v>
      </c>
      <c r="H16" s="89"/>
      <c r="I16" s="89">
        <v>0</v>
      </c>
      <c r="J16" s="89"/>
      <c r="K16" s="89">
        <v>0</v>
      </c>
      <c r="L16" s="89"/>
      <c r="M16" s="89">
        <v>221860</v>
      </c>
      <c r="N16" s="89"/>
      <c r="O16" s="89">
        <v>207099</v>
      </c>
      <c r="Q16" s="89">
        <v>307097</v>
      </c>
    </row>
    <row r="17" spans="1:17" ht="21">
      <c r="A17" s="72" t="s">
        <v>43</v>
      </c>
      <c r="D17" s="86"/>
      <c r="E17" s="87"/>
      <c r="F17" s="88"/>
      <c r="G17" s="89">
        <v>823473</v>
      </c>
      <c r="H17" s="89"/>
      <c r="I17" s="89">
        <v>779882</v>
      </c>
      <c r="J17" s="89"/>
      <c r="K17" s="89">
        <v>1037727</v>
      </c>
      <c r="L17" s="89"/>
      <c r="M17" s="89">
        <v>89416</v>
      </c>
      <c r="N17" s="89"/>
      <c r="O17" s="89">
        <v>91267</v>
      </c>
      <c r="Q17" s="89">
        <v>230927</v>
      </c>
    </row>
    <row r="18" spans="1:17" ht="21">
      <c r="A18" s="72" t="s">
        <v>64</v>
      </c>
      <c r="D18" s="86"/>
      <c r="E18" s="87"/>
      <c r="F18" s="88"/>
      <c r="G18" s="94">
        <v>178601</v>
      </c>
      <c r="H18" s="89"/>
      <c r="I18" s="94">
        <v>150338</v>
      </c>
      <c r="J18" s="89"/>
      <c r="K18" s="89">
        <v>121793</v>
      </c>
      <c r="L18" s="89"/>
      <c r="M18" s="94">
        <v>28387</v>
      </c>
      <c r="N18" s="89"/>
      <c r="O18" s="94">
        <v>19548</v>
      </c>
      <c r="Q18" s="94">
        <v>14872</v>
      </c>
    </row>
    <row r="19" spans="1:17" ht="21">
      <c r="A19" s="77" t="s">
        <v>2</v>
      </c>
      <c r="E19" s="92"/>
      <c r="G19" s="95">
        <f>SUM(G12:G18)</f>
        <v>10642092</v>
      </c>
      <c r="H19" s="96"/>
      <c r="I19" s="95">
        <f>SUM(I12:I18)</f>
        <v>9085897</v>
      </c>
      <c r="J19" s="96"/>
      <c r="K19" s="95">
        <f>SUM(K12:K18)</f>
        <v>8876731</v>
      </c>
      <c r="L19" s="96"/>
      <c r="M19" s="95">
        <f>SUM(M12:M18)</f>
        <v>3117591</v>
      </c>
      <c r="N19" s="96"/>
      <c r="O19" s="95">
        <f>SUM(O12:O18)</f>
        <v>2854921</v>
      </c>
      <c r="Q19" s="95">
        <f>SUM(Q12:Q18)</f>
        <v>2902503</v>
      </c>
    </row>
    <row r="20" spans="1:17" ht="21">
      <c r="A20" s="77" t="s">
        <v>17</v>
      </c>
      <c r="E20" s="92"/>
      <c r="G20" s="96"/>
      <c r="H20" s="96"/>
      <c r="I20" s="96"/>
      <c r="J20" s="96"/>
      <c r="K20" s="96"/>
      <c r="L20" s="96"/>
      <c r="M20" s="96"/>
      <c r="N20" s="96"/>
      <c r="O20" s="96"/>
      <c r="Q20" s="96"/>
    </row>
    <row r="21" spans="1:17" ht="21">
      <c r="A21" s="72" t="s">
        <v>180</v>
      </c>
      <c r="E21" s="92"/>
      <c r="G21" s="96">
        <v>10418</v>
      </c>
      <c r="H21" s="96"/>
      <c r="I21" s="96">
        <v>0</v>
      </c>
      <c r="J21" s="96"/>
      <c r="K21" s="89">
        <v>50000</v>
      </c>
      <c r="L21" s="96"/>
      <c r="M21" s="89">
        <v>0</v>
      </c>
      <c r="N21" s="96"/>
      <c r="O21" s="96">
        <v>0</v>
      </c>
      <c r="Q21" s="89">
        <v>0</v>
      </c>
    </row>
    <row r="22" spans="1:17" ht="21">
      <c r="A22" s="72" t="s">
        <v>181</v>
      </c>
      <c r="E22" s="92"/>
      <c r="G22" s="96">
        <v>47626</v>
      </c>
      <c r="H22" s="96"/>
      <c r="I22" s="96">
        <v>23022</v>
      </c>
      <c r="J22" s="96"/>
      <c r="K22" s="89">
        <v>24686</v>
      </c>
      <c r="L22" s="96"/>
      <c r="M22" s="89">
        <v>14000</v>
      </c>
      <c r="N22" s="96"/>
      <c r="O22" s="89">
        <v>0</v>
      </c>
      <c r="Q22" s="89">
        <v>0</v>
      </c>
    </row>
    <row r="23" spans="1:17" ht="21">
      <c r="A23" s="72" t="s">
        <v>118</v>
      </c>
      <c r="B23" s="86"/>
      <c r="C23" s="86"/>
      <c r="E23" s="87">
        <v>7</v>
      </c>
      <c r="F23" s="88"/>
      <c r="G23" s="89">
        <v>12989446</v>
      </c>
      <c r="H23" s="89"/>
      <c r="I23" s="96">
        <v>12864094</v>
      </c>
      <c r="J23" s="89"/>
      <c r="K23" s="89">
        <v>2815614</v>
      </c>
      <c r="L23" s="89"/>
      <c r="M23" s="89">
        <v>9035362</v>
      </c>
      <c r="N23" s="89"/>
      <c r="O23" s="89">
        <v>9188934</v>
      </c>
      <c r="Q23" s="89">
        <v>1735973</v>
      </c>
    </row>
    <row r="24" spans="1:17" ht="21">
      <c r="A24" s="72" t="s">
        <v>208</v>
      </c>
      <c r="B24" s="86"/>
      <c r="C24" s="86"/>
      <c r="E24" s="87">
        <v>8</v>
      </c>
      <c r="F24" s="88"/>
      <c r="G24" s="89">
        <v>0</v>
      </c>
      <c r="H24" s="89"/>
      <c r="I24" s="89">
        <v>0</v>
      </c>
      <c r="J24" s="89"/>
      <c r="K24" s="89">
        <v>0</v>
      </c>
      <c r="L24" s="89"/>
      <c r="M24" s="89">
        <v>27485523</v>
      </c>
      <c r="N24" s="89"/>
      <c r="O24" s="89">
        <v>24917354</v>
      </c>
      <c r="Q24" s="89">
        <v>23925320</v>
      </c>
    </row>
    <row r="25" spans="1:17" ht="21">
      <c r="A25" s="72" t="s">
        <v>209</v>
      </c>
      <c r="B25" s="86"/>
      <c r="C25" s="86"/>
      <c r="E25" s="87">
        <v>9</v>
      </c>
      <c r="F25" s="88"/>
      <c r="G25" s="96">
        <v>525694</v>
      </c>
      <c r="H25" s="89"/>
      <c r="I25" s="96">
        <v>495775</v>
      </c>
      <c r="J25" s="89"/>
      <c r="K25" s="89">
        <v>5049423</v>
      </c>
      <c r="L25" s="89"/>
      <c r="M25" s="89">
        <v>305401</v>
      </c>
      <c r="N25" s="89"/>
      <c r="O25" s="89">
        <v>322451</v>
      </c>
      <c r="Q25" s="89">
        <v>4876100</v>
      </c>
    </row>
    <row r="26" spans="1:17" ht="21">
      <c r="A26" s="72" t="s">
        <v>59</v>
      </c>
      <c r="B26" s="86"/>
      <c r="C26" s="86"/>
      <c r="E26" s="87">
        <v>6</v>
      </c>
      <c r="F26" s="88"/>
      <c r="G26" s="96">
        <v>0</v>
      </c>
      <c r="H26" s="89"/>
      <c r="I26" s="96">
        <v>0</v>
      </c>
      <c r="J26" s="89"/>
      <c r="K26" s="89">
        <v>0</v>
      </c>
      <c r="L26" s="89"/>
      <c r="M26" s="89">
        <v>5570309</v>
      </c>
      <c r="N26" s="89"/>
      <c r="O26" s="89">
        <v>5324980</v>
      </c>
      <c r="Q26" s="89">
        <v>1665538</v>
      </c>
    </row>
    <row r="27" spans="1:17" ht="21">
      <c r="A27" s="72" t="s">
        <v>155</v>
      </c>
      <c r="E27" s="87"/>
      <c r="F27" s="88"/>
      <c r="G27" s="96">
        <v>254126</v>
      </c>
      <c r="H27" s="89"/>
      <c r="I27" s="96">
        <v>222795</v>
      </c>
      <c r="J27" s="89"/>
      <c r="K27" s="89">
        <v>190226</v>
      </c>
      <c r="L27" s="89"/>
      <c r="M27" s="89">
        <v>489716</v>
      </c>
      <c r="N27" s="89"/>
      <c r="O27" s="89">
        <v>458385</v>
      </c>
      <c r="Q27" s="89">
        <v>425816</v>
      </c>
    </row>
    <row r="28" spans="1:17" ht="21">
      <c r="A28" s="72" t="s">
        <v>210</v>
      </c>
      <c r="B28" s="86"/>
      <c r="C28" s="86"/>
      <c r="E28" s="87">
        <v>10</v>
      </c>
      <c r="F28" s="88"/>
      <c r="G28" s="96">
        <v>36974131</v>
      </c>
      <c r="H28" s="89"/>
      <c r="I28" s="96">
        <f>33151946</f>
        <v>33151946</v>
      </c>
      <c r="J28" s="89"/>
      <c r="K28" s="89">
        <f>29430070</f>
        <v>29430070</v>
      </c>
      <c r="L28" s="89"/>
      <c r="M28" s="89">
        <v>6738272</v>
      </c>
      <c r="N28" s="89"/>
      <c r="O28" s="89">
        <f>6448077</f>
        <v>6448077</v>
      </c>
      <c r="Q28" s="89">
        <f>4978104</f>
        <v>4978104</v>
      </c>
    </row>
    <row r="29" spans="1:17" ht="21">
      <c r="A29" s="72" t="s">
        <v>151</v>
      </c>
      <c r="B29" s="86"/>
      <c r="C29" s="86"/>
      <c r="E29" s="87"/>
      <c r="F29" s="88"/>
      <c r="G29" s="96">
        <v>602008</v>
      </c>
      <c r="H29" s="89"/>
      <c r="I29" s="96">
        <f>633123</f>
        <v>633123</v>
      </c>
      <c r="J29" s="89"/>
      <c r="K29" s="89">
        <f>511203</f>
        <v>511203</v>
      </c>
      <c r="L29" s="89"/>
      <c r="M29" s="89">
        <v>601681</v>
      </c>
      <c r="N29" s="89"/>
      <c r="O29" s="89">
        <f>632797</f>
        <v>632797</v>
      </c>
      <c r="Q29" s="89">
        <f>510876</f>
        <v>510876</v>
      </c>
    </row>
    <row r="30" spans="1:17" ht="21">
      <c r="A30" s="72" t="s">
        <v>120</v>
      </c>
      <c r="C30" s="86"/>
      <c r="E30" s="97"/>
      <c r="F30" s="88"/>
      <c r="G30" s="96">
        <v>10821099</v>
      </c>
      <c r="H30" s="89"/>
      <c r="I30" s="96">
        <v>10609369</v>
      </c>
      <c r="J30" s="89"/>
      <c r="K30" s="89">
        <v>10609369</v>
      </c>
      <c r="L30" s="89"/>
      <c r="M30" s="89">
        <v>0</v>
      </c>
      <c r="N30" s="89"/>
      <c r="O30" s="89">
        <v>0</v>
      </c>
      <c r="Q30" s="89">
        <v>0</v>
      </c>
    </row>
    <row r="31" spans="1:17" ht="21">
      <c r="A31" s="72" t="s">
        <v>211</v>
      </c>
      <c r="B31" s="86"/>
      <c r="C31" s="86"/>
      <c r="E31" s="87"/>
      <c r="F31" s="88"/>
      <c r="G31" s="96">
        <v>631071</v>
      </c>
      <c r="H31" s="89"/>
      <c r="I31" s="96">
        <v>568720</v>
      </c>
      <c r="J31" s="89"/>
      <c r="K31" s="89">
        <v>482139</v>
      </c>
      <c r="L31" s="89"/>
      <c r="M31" s="89">
        <v>254541</v>
      </c>
      <c r="N31" s="89"/>
      <c r="O31" s="89">
        <v>184271</v>
      </c>
      <c r="Q31" s="89">
        <v>72988</v>
      </c>
    </row>
    <row r="32" spans="1:17" ht="21">
      <c r="A32" s="72" t="s">
        <v>212</v>
      </c>
      <c r="B32" s="86"/>
      <c r="C32" s="86"/>
      <c r="E32" s="87"/>
      <c r="F32" s="88"/>
      <c r="G32" s="89"/>
      <c r="H32" s="89"/>
      <c r="I32" s="89"/>
      <c r="J32" s="89"/>
      <c r="K32" s="89"/>
      <c r="L32" s="89"/>
      <c r="M32" s="89"/>
      <c r="N32" s="89"/>
      <c r="O32" s="89"/>
      <c r="Q32" s="89"/>
    </row>
    <row r="33" spans="2:17" ht="21">
      <c r="B33" s="72" t="s">
        <v>213</v>
      </c>
      <c r="C33" s="86"/>
      <c r="E33" s="87">
        <v>6</v>
      </c>
      <c r="F33" s="98"/>
      <c r="G33" s="96">
        <v>903117</v>
      </c>
      <c r="H33" s="89"/>
      <c r="I33" s="96">
        <v>552716</v>
      </c>
      <c r="J33" s="89"/>
      <c r="K33" s="89">
        <v>557137</v>
      </c>
      <c r="L33" s="89"/>
      <c r="M33" s="89">
        <v>400835</v>
      </c>
      <c r="N33" s="89"/>
      <c r="O33" s="89">
        <v>99317</v>
      </c>
      <c r="Q33" s="89">
        <v>106061</v>
      </c>
    </row>
    <row r="34" spans="2:17" ht="21">
      <c r="B34" s="72" t="s">
        <v>121</v>
      </c>
      <c r="C34" s="86"/>
      <c r="E34" s="87">
        <v>6</v>
      </c>
      <c r="F34" s="88"/>
      <c r="G34" s="89">
        <v>273738</v>
      </c>
      <c r="H34" s="89"/>
      <c r="I34" s="89">
        <v>253524</v>
      </c>
      <c r="J34" s="89"/>
      <c r="K34" s="89">
        <v>195334</v>
      </c>
      <c r="L34" s="89"/>
      <c r="M34" s="89">
        <v>26768</v>
      </c>
      <c r="N34" s="89"/>
      <c r="O34" s="89">
        <v>24734</v>
      </c>
      <c r="Q34" s="89">
        <v>14456</v>
      </c>
    </row>
    <row r="35" spans="1:17" ht="21">
      <c r="A35" s="77" t="s">
        <v>18</v>
      </c>
      <c r="G35" s="99">
        <f>SUM(G20:G34)</f>
        <v>64032474</v>
      </c>
      <c r="H35" s="96"/>
      <c r="I35" s="99">
        <f>SUM(I20:I34)</f>
        <v>59375084</v>
      </c>
      <c r="J35" s="89"/>
      <c r="K35" s="99">
        <f>SUM(K20:K34)</f>
        <v>49915201</v>
      </c>
      <c r="L35" s="89"/>
      <c r="M35" s="99">
        <f>SUM(M20:M34)</f>
        <v>50922408</v>
      </c>
      <c r="N35" s="96"/>
      <c r="O35" s="99">
        <f>SUM(O20:O34)</f>
        <v>47601300</v>
      </c>
      <c r="Q35" s="99">
        <f>SUM(Q20:Q34)</f>
        <v>38311232</v>
      </c>
    </row>
    <row r="36" spans="1:17" ht="21.75" thickBot="1">
      <c r="A36" s="77" t="s">
        <v>3</v>
      </c>
      <c r="G36" s="100">
        <f>SUM(G19+G35)</f>
        <v>74674566</v>
      </c>
      <c r="H36" s="96"/>
      <c r="I36" s="100">
        <f>SUM(I19+I35)</f>
        <v>68460981</v>
      </c>
      <c r="J36" s="89"/>
      <c r="K36" s="100">
        <f>SUM(K19+K35)</f>
        <v>58791932</v>
      </c>
      <c r="L36" s="89"/>
      <c r="M36" s="100">
        <f>SUM(M19+M35)</f>
        <v>54039999</v>
      </c>
      <c r="N36" s="96"/>
      <c r="O36" s="100">
        <f>SUM(O19+O35)</f>
        <v>50456221</v>
      </c>
      <c r="Q36" s="100">
        <f>SUM(Q19+Q35)</f>
        <v>41213735</v>
      </c>
    </row>
    <row r="37" spans="7:17" ht="19.5" customHeight="1" thickTop="1">
      <c r="G37" s="85"/>
      <c r="I37" s="85"/>
      <c r="J37" s="85"/>
      <c r="K37" s="85"/>
      <c r="L37" s="85"/>
      <c r="M37" s="85"/>
      <c r="O37" s="85"/>
      <c r="Q37" s="85"/>
    </row>
    <row r="38" spans="1:17" ht="21">
      <c r="A38" s="72" t="s">
        <v>40</v>
      </c>
      <c r="G38" s="85"/>
      <c r="I38" s="85"/>
      <c r="J38" s="85"/>
      <c r="K38" s="85"/>
      <c r="L38" s="85"/>
      <c r="M38" s="85"/>
      <c r="O38" s="85"/>
      <c r="Q38" s="85"/>
    </row>
    <row r="39" spans="7:17" ht="21">
      <c r="G39" s="85"/>
      <c r="I39" s="85"/>
      <c r="J39" s="85"/>
      <c r="K39" s="85"/>
      <c r="L39" s="85"/>
      <c r="M39" s="85"/>
      <c r="O39" s="85"/>
      <c r="Q39" s="85"/>
    </row>
    <row r="40" spans="7:17" ht="21">
      <c r="G40" s="85"/>
      <c r="I40" s="85"/>
      <c r="J40" s="85"/>
      <c r="K40" s="85"/>
      <c r="L40" s="85"/>
      <c r="M40" s="85"/>
      <c r="O40" s="85"/>
      <c r="Q40" s="85"/>
    </row>
    <row r="41" spans="7:17" ht="21">
      <c r="G41" s="85"/>
      <c r="I41" s="85"/>
      <c r="J41" s="85"/>
      <c r="K41" s="85"/>
      <c r="L41" s="85"/>
      <c r="M41" s="85"/>
      <c r="O41" s="85"/>
      <c r="Q41" s="85"/>
    </row>
    <row r="42" spans="7:17" ht="21">
      <c r="G42" s="85"/>
      <c r="I42" s="85"/>
      <c r="J42" s="85"/>
      <c r="K42" s="85"/>
      <c r="L42" s="85"/>
      <c r="M42" s="85"/>
      <c r="O42" s="85"/>
      <c r="Q42" s="85"/>
    </row>
    <row r="43" spans="7:17" ht="21">
      <c r="G43" s="85"/>
      <c r="I43" s="85"/>
      <c r="J43" s="85"/>
      <c r="K43" s="85"/>
      <c r="L43" s="85"/>
      <c r="M43" s="85"/>
      <c r="O43" s="85"/>
      <c r="Q43" s="85"/>
    </row>
    <row r="44" spans="7:17" ht="21">
      <c r="G44" s="85"/>
      <c r="I44" s="85"/>
      <c r="J44" s="85"/>
      <c r="K44" s="85"/>
      <c r="L44" s="85"/>
      <c r="M44" s="85"/>
      <c r="O44" s="85"/>
      <c r="Q44" s="85"/>
    </row>
    <row r="45" spans="7:17" ht="21">
      <c r="G45" s="85"/>
      <c r="I45" s="85"/>
      <c r="J45" s="85"/>
      <c r="K45" s="85"/>
      <c r="L45" s="85"/>
      <c r="M45" s="85"/>
      <c r="O45" s="85"/>
      <c r="Q45" s="85"/>
    </row>
    <row r="46" spans="1:17" s="160" customFormat="1" ht="23.25">
      <c r="A46" s="157"/>
      <c r="B46" s="157"/>
      <c r="C46" s="157"/>
      <c r="D46" s="158"/>
      <c r="E46" s="157"/>
      <c r="F46" s="157"/>
      <c r="G46" s="157"/>
      <c r="H46" s="157"/>
      <c r="I46" s="159"/>
      <c r="J46" s="157"/>
      <c r="K46" s="159"/>
      <c r="L46" s="157"/>
      <c r="M46" s="157"/>
      <c r="N46" s="157"/>
      <c r="O46" s="157"/>
      <c r="Q46" s="157" t="s">
        <v>142</v>
      </c>
    </row>
    <row r="47" spans="1:17" ht="21">
      <c r="A47" s="71" t="s">
        <v>41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Q47" s="71"/>
    </row>
    <row r="48" spans="1:17" ht="21">
      <c r="A48" s="71" t="s">
        <v>156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Q48" s="71"/>
    </row>
    <row r="49" spans="1:17" ht="2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3"/>
      <c r="O49" s="73"/>
      <c r="Q49" s="73"/>
    </row>
    <row r="50" spans="1:17" ht="21">
      <c r="A50" s="74"/>
      <c r="B50" s="74"/>
      <c r="C50" s="74"/>
      <c r="D50" s="74"/>
      <c r="H50" s="75"/>
      <c r="I50" s="75"/>
      <c r="J50" s="75"/>
      <c r="K50" s="75"/>
      <c r="L50" s="75"/>
      <c r="M50" s="75"/>
      <c r="N50" s="76"/>
      <c r="O50" s="112"/>
      <c r="Q50" s="112" t="s">
        <v>255</v>
      </c>
    </row>
    <row r="51" spans="7:17" s="77" customFormat="1" ht="21">
      <c r="G51" s="191" t="s">
        <v>33</v>
      </c>
      <c r="H51" s="191"/>
      <c r="I51" s="191"/>
      <c r="J51" s="191"/>
      <c r="K51" s="191"/>
      <c r="L51" s="78"/>
      <c r="M51" s="191" t="s">
        <v>107</v>
      </c>
      <c r="N51" s="191"/>
      <c r="O51" s="191"/>
      <c r="P51" s="191"/>
      <c r="Q51" s="191"/>
    </row>
    <row r="52" spans="5:17" ht="21">
      <c r="E52" s="79" t="s">
        <v>26</v>
      </c>
      <c r="F52" s="72"/>
      <c r="G52" s="82" t="s">
        <v>254</v>
      </c>
      <c r="H52" s="82"/>
      <c r="I52" s="82" t="s">
        <v>254</v>
      </c>
      <c r="J52" s="85"/>
      <c r="K52" s="82" t="s">
        <v>254</v>
      </c>
      <c r="L52" s="85"/>
      <c r="M52" s="82" t="s">
        <v>254</v>
      </c>
      <c r="N52" s="82"/>
      <c r="O52" s="82" t="s">
        <v>254</v>
      </c>
      <c r="Q52" s="82" t="s">
        <v>254</v>
      </c>
    </row>
    <row r="53" spans="5:17" ht="21">
      <c r="E53" s="79"/>
      <c r="F53" s="72"/>
      <c r="G53" s="149" t="s">
        <v>304</v>
      </c>
      <c r="H53" s="80"/>
      <c r="I53" s="150" t="s">
        <v>259</v>
      </c>
      <c r="J53" s="82"/>
      <c r="K53" s="150" t="s">
        <v>270</v>
      </c>
      <c r="L53" s="82"/>
      <c r="M53" s="149" t="s">
        <v>304</v>
      </c>
      <c r="N53" s="80"/>
      <c r="O53" s="150" t="s">
        <v>259</v>
      </c>
      <c r="Q53" s="150" t="s">
        <v>270</v>
      </c>
    </row>
    <row r="54" spans="5:17" ht="21">
      <c r="E54" s="79"/>
      <c r="F54" s="72"/>
      <c r="G54" s="80" t="s">
        <v>256</v>
      </c>
      <c r="H54" s="83"/>
      <c r="I54" s="80" t="s">
        <v>257</v>
      </c>
      <c r="J54" s="84"/>
      <c r="K54" s="80"/>
      <c r="L54" s="84"/>
      <c r="M54" s="80" t="s">
        <v>256</v>
      </c>
      <c r="N54" s="83"/>
      <c r="O54" s="80" t="s">
        <v>257</v>
      </c>
      <c r="Q54" s="80"/>
    </row>
    <row r="55" spans="5:15" ht="21">
      <c r="E55" s="79"/>
      <c r="F55" s="72"/>
      <c r="G55" s="80" t="s">
        <v>258</v>
      </c>
      <c r="H55" s="83"/>
      <c r="I55" s="80" t="s">
        <v>266</v>
      </c>
      <c r="J55" s="84"/>
      <c r="K55" s="80"/>
      <c r="L55" s="84"/>
      <c r="M55" s="80" t="s">
        <v>258</v>
      </c>
      <c r="N55" s="83"/>
      <c r="O55" s="80" t="s">
        <v>266</v>
      </c>
    </row>
    <row r="56" spans="1:17" ht="21">
      <c r="A56" s="71" t="s">
        <v>4</v>
      </c>
      <c r="B56" s="101"/>
      <c r="C56" s="101"/>
      <c r="E56" s="92"/>
      <c r="H56" s="76"/>
      <c r="I56" s="76"/>
      <c r="J56" s="76"/>
      <c r="K56" s="76"/>
      <c r="L56" s="76"/>
      <c r="M56" s="76"/>
      <c r="N56" s="76"/>
      <c r="O56" s="76"/>
      <c r="Q56" s="76"/>
    </row>
    <row r="57" spans="1:5" ht="21">
      <c r="A57" s="77" t="s">
        <v>5</v>
      </c>
      <c r="E57" s="92"/>
    </row>
    <row r="58" spans="1:17" ht="21">
      <c r="A58" s="72" t="s">
        <v>229</v>
      </c>
      <c r="C58" s="86"/>
      <c r="D58" s="86"/>
      <c r="E58" s="87"/>
      <c r="F58" s="88"/>
      <c r="G58" s="89"/>
      <c r="H58" s="89"/>
      <c r="I58" s="89"/>
      <c r="J58" s="89"/>
      <c r="K58" s="89"/>
      <c r="L58" s="89"/>
      <c r="M58" s="89"/>
      <c r="N58" s="89"/>
      <c r="O58" s="89"/>
      <c r="Q58" s="89"/>
    </row>
    <row r="59" spans="1:17" ht="21">
      <c r="A59" s="72" t="s">
        <v>230</v>
      </c>
      <c r="C59" s="86"/>
      <c r="D59" s="86"/>
      <c r="E59" s="87">
        <v>11</v>
      </c>
      <c r="F59" s="88"/>
      <c r="G59" s="89">
        <v>14973</v>
      </c>
      <c r="H59" s="89"/>
      <c r="I59" s="89">
        <v>1225105</v>
      </c>
      <c r="J59" s="89"/>
      <c r="K59" s="89">
        <v>231170</v>
      </c>
      <c r="L59" s="89"/>
      <c r="M59" s="89">
        <v>0</v>
      </c>
      <c r="N59" s="89"/>
      <c r="O59" s="89">
        <v>1200000</v>
      </c>
      <c r="Q59" s="89">
        <v>0</v>
      </c>
    </row>
    <row r="60" spans="1:17" ht="21">
      <c r="A60" s="72" t="s">
        <v>206</v>
      </c>
      <c r="C60" s="86"/>
      <c r="D60" s="86"/>
      <c r="E60" s="87" t="s">
        <v>268</v>
      </c>
      <c r="F60" s="88"/>
      <c r="G60" s="89">
        <v>3555826</v>
      </c>
      <c r="H60" s="89"/>
      <c r="I60" s="89">
        <v>3614106</v>
      </c>
      <c r="J60" s="89"/>
      <c r="K60" s="89">
        <v>3391191</v>
      </c>
      <c r="L60" s="89"/>
      <c r="M60" s="89">
        <v>904498</v>
      </c>
      <c r="N60" s="89"/>
      <c r="O60" s="89">
        <v>961204</v>
      </c>
      <c r="Q60" s="89">
        <v>942752</v>
      </c>
    </row>
    <row r="61" spans="1:17" ht="21">
      <c r="A61" s="72" t="s">
        <v>95</v>
      </c>
      <c r="C61" s="86"/>
      <c r="D61" s="86"/>
      <c r="E61" s="87">
        <v>6</v>
      </c>
      <c r="F61" s="88"/>
      <c r="G61" s="89">
        <v>0</v>
      </c>
      <c r="H61" s="89"/>
      <c r="I61" s="89">
        <v>0</v>
      </c>
      <c r="J61" s="89"/>
      <c r="K61" s="89">
        <v>0</v>
      </c>
      <c r="L61" s="89"/>
      <c r="M61" s="89">
        <v>3504550</v>
      </c>
      <c r="N61" s="89"/>
      <c r="O61" s="89">
        <v>2796625</v>
      </c>
      <c r="Q61" s="89">
        <v>1627946</v>
      </c>
    </row>
    <row r="62" spans="1:17" ht="21">
      <c r="A62" s="72" t="s">
        <v>147</v>
      </c>
      <c r="C62" s="86"/>
      <c r="D62" s="86"/>
      <c r="E62" s="72"/>
      <c r="F62" s="72"/>
      <c r="G62" s="72"/>
      <c r="H62" s="72"/>
      <c r="I62" s="72"/>
      <c r="J62" s="72"/>
      <c r="K62" s="89"/>
      <c r="L62" s="72"/>
      <c r="M62" s="72"/>
      <c r="N62" s="72"/>
      <c r="O62" s="72"/>
      <c r="Q62" s="72"/>
    </row>
    <row r="63" spans="1:17" ht="21">
      <c r="A63" s="72" t="s">
        <v>148</v>
      </c>
      <c r="C63" s="86"/>
      <c r="D63" s="86"/>
      <c r="E63" s="87">
        <v>13</v>
      </c>
      <c r="F63" s="88"/>
      <c r="G63" s="89">
        <v>956174</v>
      </c>
      <c r="H63" s="89"/>
      <c r="I63" s="89">
        <v>889646</v>
      </c>
      <c r="J63" s="89"/>
      <c r="K63" s="89">
        <v>813215</v>
      </c>
      <c r="L63" s="89"/>
      <c r="M63" s="89">
        <v>885904</v>
      </c>
      <c r="N63" s="89"/>
      <c r="O63" s="89">
        <v>820198</v>
      </c>
      <c r="Q63" s="89">
        <v>436300</v>
      </c>
    </row>
    <row r="64" spans="1:17" ht="21">
      <c r="A64" s="72" t="s">
        <v>231</v>
      </c>
      <c r="C64" s="86"/>
      <c r="D64" s="86"/>
      <c r="E64" s="87"/>
      <c r="F64" s="88"/>
      <c r="G64" s="89"/>
      <c r="H64" s="89"/>
      <c r="I64" s="89"/>
      <c r="J64" s="89"/>
      <c r="K64" s="89"/>
      <c r="L64" s="89"/>
      <c r="M64" s="89"/>
      <c r="N64" s="89"/>
      <c r="O64" s="89"/>
      <c r="Q64" s="89"/>
    </row>
    <row r="65" spans="1:17" ht="21">
      <c r="A65" s="72" t="s">
        <v>232</v>
      </c>
      <c r="C65" s="86"/>
      <c r="D65" s="86"/>
      <c r="E65" s="87">
        <v>14</v>
      </c>
      <c r="F65" s="88"/>
      <c r="G65" s="89">
        <v>89511</v>
      </c>
      <c r="H65" s="89"/>
      <c r="I65" s="89">
        <v>92713</v>
      </c>
      <c r="J65" s="89"/>
      <c r="K65" s="89">
        <v>149723</v>
      </c>
      <c r="L65" s="89"/>
      <c r="M65" s="89">
        <v>8812</v>
      </c>
      <c r="N65" s="89"/>
      <c r="O65" s="89">
        <v>6150</v>
      </c>
      <c r="Q65" s="89">
        <v>3051</v>
      </c>
    </row>
    <row r="66" spans="1:17" ht="21">
      <c r="A66" s="72" t="s">
        <v>152</v>
      </c>
      <c r="C66" s="86"/>
      <c r="D66" s="86"/>
      <c r="E66" s="87">
        <v>15</v>
      </c>
      <c r="F66" s="88"/>
      <c r="G66" s="89">
        <v>2969076</v>
      </c>
      <c r="H66" s="89"/>
      <c r="I66" s="89">
        <v>1999885</v>
      </c>
      <c r="J66" s="89"/>
      <c r="K66" s="89">
        <v>0</v>
      </c>
      <c r="L66" s="89"/>
      <c r="M66" s="89">
        <v>2969076</v>
      </c>
      <c r="N66" s="89"/>
      <c r="O66" s="89">
        <v>1999885</v>
      </c>
      <c r="Q66" s="89">
        <v>0</v>
      </c>
    </row>
    <row r="67" spans="1:17" ht="21">
      <c r="A67" s="72" t="s">
        <v>157</v>
      </c>
      <c r="C67" s="86"/>
      <c r="D67" s="86"/>
      <c r="E67" s="87"/>
      <c r="F67" s="88"/>
      <c r="G67" s="89">
        <v>236453</v>
      </c>
      <c r="H67" s="89"/>
      <c r="I67" s="89">
        <v>606750</v>
      </c>
      <c r="J67" s="89"/>
      <c r="K67" s="89">
        <v>725829</v>
      </c>
      <c r="L67" s="89"/>
      <c r="M67" s="89">
        <v>20679</v>
      </c>
      <c r="N67" s="89"/>
      <c r="O67" s="89">
        <v>39515</v>
      </c>
      <c r="Q67" s="89">
        <v>48527</v>
      </c>
    </row>
    <row r="68" spans="1:17" ht="21">
      <c r="A68" s="72" t="s">
        <v>44</v>
      </c>
      <c r="C68" s="86"/>
      <c r="D68" s="86"/>
      <c r="E68" s="87"/>
      <c r="F68" s="88"/>
      <c r="G68" s="89">
        <v>3227928</v>
      </c>
      <c r="H68" s="89"/>
      <c r="I68" s="89">
        <v>2276914</v>
      </c>
      <c r="J68" s="89"/>
      <c r="K68" s="89">
        <v>1815833</v>
      </c>
      <c r="L68" s="89"/>
      <c r="M68" s="89">
        <v>714736</v>
      </c>
      <c r="N68" s="89"/>
      <c r="O68" s="89">
        <v>519202</v>
      </c>
      <c r="Q68" s="89">
        <v>397328</v>
      </c>
    </row>
    <row r="69" spans="1:17" ht="21">
      <c r="A69" s="72" t="s">
        <v>6</v>
      </c>
      <c r="C69" s="86"/>
      <c r="D69" s="86"/>
      <c r="E69" s="87"/>
      <c r="F69" s="88"/>
      <c r="G69" s="94">
        <v>817563</v>
      </c>
      <c r="H69" s="89"/>
      <c r="I69" s="94">
        <v>667591</v>
      </c>
      <c r="J69" s="89"/>
      <c r="K69" s="89">
        <v>451510</v>
      </c>
      <c r="L69" s="89"/>
      <c r="M69" s="94">
        <v>301140</v>
      </c>
      <c r="N69" s="89"/>
      <c r="O69" s="94">
        <v>203262</v>
      </c>
      <c r="Q69" s="94">
        <v>158024</v>
      </c>
    </row>
    <row r="70" spans="1:17" ht="21">
      <c r="A70" s="77" t="s">
        <v>7</v>
      </c>
      <c r="E70" s="92"/>
      <c r="G70" s="95">
        <f>SUM(G59:G69)</f>
        <v>11867504</v>
      </c>
      <c r="H70" s="96"/>
      <c r="I70" s="95">
        <f>SUM(I59:I69)</f>
        <v>11372710</v>
      </c>
      <c r="J70" s="89"/>
      <c r="K70" s="95">
        <f>SUM(K59:K69)</f>
        <v>7578471</v>
      </c>
      <c r="L70" s="89"/>
      <c r="M70" s="95">
        <f>SUM(M59:M69)</f>
        <v>9309395</v>
      </c>
      <c r="N70" s="89"/>
      <c r="O70" s="95">
        <f>SUM(O59:O69)</f>
        <v>8546041</v>
      </c>
      <c r="Q70" s="95">
        <f>SUM(Q59:Q69)</f>
        <v>3613928</v>
      </c>
    </row>
    <row r="71" spans="1:17" ht="21">
      <c r="A71" s="77" t="s">
        <v>19</v>
      </c>
      <c r="E71" s="92"/>
      <c r="G71" s="96"/>
      <c r="H71" s="96"/>
      <c r="I71" s="96"/>
      <c r="J71" s="89"/>
      <c r="K71" s="96"/>
      <c r="L71" s="89"/>
      <c r="M71" s="89"/>
      <c r="N71" s="89"/>
      <c r="O71" s="89"/>
      <c r="Q71" s="89"/>
    </row>
    <row r="72" spans="1:17" ht="21">
      <c r="A72" s="72" t="s">
        <v>143</v>
      </c>
      <c r="B72" s="86"/>
      <c r="D72" s="86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Q72" s="72"/>
    </row>
    <row r="73" spans="1:17" ht="21">
      <c r="A73" s="72" t="s">
        <v>144</v>
      </c>
      <c r="B73" s="86"/>
      <c r="D73" s="86"/>
      <c r="E73" s="87">
        <v>13</v>
      </c>
      <c r="F73" s="88"/>
      <c r="G73" s="89">
        <v>7827035</v>
      </c>
      <c r="H73" s="89"/>
      <c r="I73" s="89">
        <v>8558261</v>
      </c>
      <c r="J73" s="89"/>
      <c r="K73" s="89">
        <v>6951172</v>
      </c>
      <c r="L73" s="89"/>
      <c r="M73" s="89">
        <v>7574627</v>
      </c>
      <c r="N73" s="89"/>
      <c r="O73" s="89">
        <v>8254982</v>
      </c>
      <c r="Q73" s="89">
        <v>2705410</v>
      </c>
    </row>
    <row r="74" spans="1:17" ht="21">
      <c r="A74" s="72" t="s">
        <v>145</v>
      </c>
      <c r="B74" s="86"/>
      <c r="D74" s="86"/>
      <c r="E74" s="87"/>
      <c r="F74" s="88"/>
      <c r="G74" s="89"/>
      <c r="H74" s="89"/>
      <c r="I74" s="89"/>
      <c r="J74" s="89"/>
      <c r="K74" s="89"/>
      <c r="L74" s="89"/>
      <c r="M74" s="89"/>
      <c r="N74" s="89"/>
      <c r="O74" s="89"/>
      <c r="Q74" s="89"/>
    </row>
    <row r="75" spans="1:17" ht="21">
      <c r="A75" s="72" t="s">
        <v>144</v>
      </c>
      <c r="B75" s="86"/>
      <c r="D75" s="86"/>
      <c r="E75" s="87">
        <v>14</v>
      </c>
      <c r="F75" s="88"/>
      <c r="G75" s="89">
        <v>61241</v>
      </c>
      <c r="H75" s="89"/>
      <c r="I75" s="89">
        <v>86074</v>
      </c>
      <c r="J75" s="89"/>
      <c r="K75" s="89">
        <v>185305</v>
      </c>
      <c r="L75" s="89"/>
      <c r="M75" s="89">
        <v>12822</v>
      </c>
      <c r="N75" s="89"/>
      <c r="O75" s="89">
        <v>11436</v>
      </c>
      <c r="Q75" s="89">
        <v>6928</v>
      </c>
    </row>
    <row r="76" spans="1:17" ht="21">
      <c r="A76" s="72" t="s">
        <v>153</v>
      </c>
      <c r="B76" s="86"/>
      <c r="D76" s="86"/>
      <c r="E76" s="87">
        <f>E66</f>
        <v>15</v>
      </c>
      <c r="F76" s="88"/>
      <c r="G76" s="89">
        <v>11089158</v>
      </c>
      <c r="H76" s="89"/>
      <c r="I76" s="89">
        <v>7063969</v>
      </c>
      <c r="J76" s="89"/>
      <c r="K76" s="89">
        <v>8461263</v>
      </c>
      <c r="L76" s="89"/>
      <c r="M76" s="89">
        <v>11089158</v>
      </c>
      <c r="N76" s="89"/>
      <c r="O76" s="89">
        <v>7063969</v>
      </c>
      <c r="Q76" s="89">
        <v>8461263</v>
      </c>
    </row>
    <row r="77" spans="1:17" ht="21">
      <c r="A77" s="72" t="s">
        <v>158</v>
      </c>
      <c r="B77" s="86"/>
      <c r="D77" s="86"/>
      <c r="E77" s="87"/>
      <c r="F77" s="88"/>
      <c r="G77" s="89">
        <v>1210044</v>
      </c>
      <c r="H77" s="89"/>
      <c r="I77" s="89">
        <v>1108656</v>
      </c>
      <c r="J77" s="89"/>
      <c r="K77" s="89">
        <v>862972</v>
      </c>
      <c r="L77" s="89"/>
      <c r="M77" s="89">
        <v>233842</v>
      </c>
      <c r="N77" s="89"/>
      <c r="O77" s="89">
        <v>212524</v>
      </c>
      <c r="Q77" s="89">
        <v>148516</v>
      </c>
    </row>
    <row r="78" spans="1:17" ht="21">
      <c r="A78" s="72" t="s">
        <v>45</v>
      </c>
      <c r="B78" s="86"/>
      <c r="D78" s="86"/>
      <c r="E78" s="87"/>
      <c r="F78" s="88"/>
      <c r="G78" s="89">
        <v>104886</v>
      </c>
      <c r="H78" s="89"/>
      <c r="I78" s="89">
        <v>131391</v>
      </c>
      <c r="J78" s="89"/>
      <c r="K78" s="89">
        <v>173450</v>
      </c>
      <c r="L78" s="89"/>
      <c r="M78" s="89">
        <v>54564</v>
      </c>
      <c r="N78" s="89"/>
      <c r="O78" s="89">
        <v>74862</v>
      </c>
      <c r="Q78" s="89">
        <v>108620</v>
      </c>
    </row>
    <row r="79" spans="1:17" ht="21">
      <c r="A79" s="72" t="s">
        <v>269</v>
      </c>
      <c r="B79" s="86"/>
      <c r="D79" s="86"/>
      <c r="E79" s="87">
        <v>3</v>
      </c>
      <c r="F79" s="88"/>
      <c r="G79" s="89">
        <v>1282117</v>
      </c>
      <c r="H79" s="89"/>
      <c r="I79" s="89">
        <v>1226986</v>
      </c>
      <c r="J79" s="89"/>
      <c r="K79" s="89">
        <v>1331732</v>
      </c>
      <c r="L79" s="89"/>
      <c r="M79" s="89">
        <v>160985</v>
      </c>
      <c r="N79" s="89"/>
      <c r="O79" s="89">
        <v>195670</v>
      </c>
      <c r="Q79" s="89">
        <v>375896</v>
      </c>
    </row>
    <row r="80" spans="1:17" ht="21">
      <c r="A80" s="72" t="s">
        <v>46</v>
      </c>
      <c r="B80" s="86"/>
      <c r="D80" s="86"/>
      <c r="E80" s="87">
        <v>6</v>
      </c>
      <c r="F80" s="88"/>
      <c r="G80" s="89">
        <v>549568</v>
      </c>
      <c r="H80" s="89"/>
      <c r="I80" s="89">
        <v>525971</v>
      </c>
      <c r="J80" s="89"/>
      <c r="K80" s="89">
        <v>355863</v>
      </c>
      <c r="L80" s="89"/>
      <c r="M80" s="89">
        <v>185980</v>
      </c>
      <c r="N80" s="89"/>
      <c r="O80" s="89">
        <v>192004</v>
      </c>
      <c r="Q80" s="89">
        <v>106791</v>
      </c>
    </row>
    <row r="81" spans="1:17" ht="21">
      <c r="A81" s="77" t="s">
        <v>54</v>
      </c>
      <c r="B81" s="77"/>
      <c r="E81" s="92"/>
      <c r="G81" s="95">
        <f>SUM(G73:G80)</f>
        <v>22124049</v>
      </c>
      <c r="H81" s="96"/>
      <c r="I81" s="95">
        <f>SUM(I73:I80)</f>
        <v>18701308</v>
      </c>
      <c r="J81" s="89"/>
      <c r="K81" s="95">
        <f>SUM(K73:K80)</f>
        <v>18321757</v>
      </c>
      <c r="L81" s="89"/>
      <c r="M81" s="95">
        <f>SUM(M73:M80)</f>
        <v>19311978</v>
      </c>
      <c r="N81" s="96"/>
      <c r="O81" s="95">
        <f>SUM(O73:O80)</f>
        <v>16005447</v>
      </c>
      <c r="Q81" s="95">
        <f>SUM(Q73:Q80)</f>
        <v>11913424</v>
      </c>
    </row>
    <row r="82" spans="1:19" ht="21">
      <c r="A82" s="77" t="s">
        <v>8</v>
      </c>
      <c r="B82" s="77"/>
      <c r="E82" s="92"/>
      <c r="G82" s="95">
        <f>SUM(G70+G81)</f>
        <v>33991553</v>
      </c>
      <c r="H82" s="96"/>
      <c r="I82" s="95">
        <f>SUM(I70+I81)</f>
        <v>30074018</v>
      </c>
      <c r="J82" s="89"/>
      <c r="K82" s="95">
        <f>SUM(K70+K81)</f>
        <v>25900228</v>
      </c>
      <c r="L82" s="89"/>
      <c r="M82" s="95">
        <f>SUM(M70+M81)</f>
        <v>28621373</v>
      </c>
      <c r="N82" s="96"/>
      <c r="O82" s="95">
        <f>SUM(O70+O81)</f>
        <v>24551488</v>
      </c>
      <c r="Q82" s="95">
        <f>SUM(Q70+Q81)</f>
        <v>15527352</v>
      </c>
      <c r="S82" s="144"/>
    </row>
    <row r="83" spans="5:17" ht="21">
      <c r="E83" s="92"/>
      <c r="G83" s="85"/>
      <c r="I83" s="85"/>
      <c r="J83" s="85"/>
      <c r="K83" s="85"/>
      <c r="L83" s="85"/>
      <c r="M83" s="85"/>
      <c r="O83" s="85"/>
      <c r="Q83" s="85"/>
    </row>
    <row r="84" spans="1:17" ht="21">
      <c r="A84" s="72" t="s">
        <v>40</v>
      </c>
      <c r="E84" s="92"/>
      <c r="G84" s="85"/>
      <c r="I84" s="85"/>
      <c r="J84" s="85"/>
      <c r="K84" s="85"/>
      <c r="L84" s="85"/>
      <c r="M84" s="85"/>
      <c r="O84" s="85"/>
      <c r="Q84" s="85"/>
    </row>
    <row r="85" spans="5:17" ht="21">
      <c r="E85" s="92"/>
      <c r="G85" s="85"/>
      <c r="I85" s="85"/>
      <c r="J85" s="85"/>
      <c r="K85" s="85"/>
      <c r="L85" s="85"/>
      <c r="M85" s="85"/>
      <c r="O85" s="85"/>
      <c r="Q85" s="85"/>
    </row>
    <row r="86" spans="5:17" ht="21">
      <c r="E86" s="92"/>
      <c r="G86" s="85"/>
      <c r="I86" s="85"/>
      <c r="J86" s="85"/>
      <c r="K86" s="85"/>
      <c r="L86" s="85"/>
      <c r="M86" s="85"/>
      <c r="O86" s="85"/>
      <c r="Q86" s="85"/>
    </row>
    <row r="87" spans="5:17" ht="21">
      <c r="E87" s="92"/>
      <c r="G87" s="85"/>
      <c r="I87" s="85"/>
      <c r="J87" s="85"/>
      <c r="K87" s="85"/>
      <c r="L87" s="85"/>
      <c r="M87" s="85"/>
      <c r="O87" s="85"/>
      <c r="Q87" s="85"/>
    </row>
    <row r="88" spans="5:17" ht="21">
      <c r="E88" s="92"/>
      <c r="G88" s="85"/>
      <c r="I88" s="85"/>
      <c r="J88" s="85"/>
      <c r="K88" s="85"/>
      <c r="L88" s="85"/>
      <c r="M88" s="85"/>
      <c r="O88" s="85"/>
      <c r="Q88" s="85"/>
    </row>
    <row r="89" spans="5:17" ht="21">
      <c r="E89" s="92"/>
      <c r="G89" s="85"/>
      <c r="I89" s="85"/>
      <c r="J89" s="85"/>
      <c r="K89" s="85"/>
      <c r="L89" s="85"/>
      <c r="M89" s="85"/>
      <c r="O89" s="85"/>
      <c r="Q89" s="85"/>
    </row>
    <row r="90" spans="5:17" ht="21">
      <c r="E90" s="92"/>
      <c r="G90" s="85"/>
      <c r="I90" s="85"/>
      <c r="J90" s="85"/>
      <c r="K90" s="85"/>
      <c r="L90" s="85"/>
      <c r="M90" s="85"/>
      <c r="O90" s="85"/>
      <c r="Q90" s="85"/>
    </row>
    <row r="91" spans="5:17" ht="21">
      <c r="E91" s="92"/>
      <c r="G91" s="85"/>
      <c r="I91" s="85"/>
      <c r="J91" s="85"/>
      <c r="K91" s="85"/>
      <c r="L91" s="85"/>
      <c r="M91" s="85"/>
      <c r="O91" s="85"/>
      <c r="Q91" s="85"/>
    </row>
    <row r="92" spans="5:17" s="158" customFormat="1" ht="23.25">
      <c r="E92" s="161"/>
      <c r="F92" s="162"/>
      <c r="G92" s="163"/>
      <c r="H92" s="164"/>
      <c r="I92" s="159"/>
      <c r="J92" s="159"/>
      <c r="K92" s="159"/>
      <c r="L92" s="159"/>
      <c r="M92" s="164"/>
      <c r="N92" s="164"/>
      <c r="O92" s="159"/>
      <c r="Q92" s="159">
        <v>2</v>
      </c>
    </row>
    <row r="93" spans="1:17" ht="21">
      <c r="A93" s="71" t="s">
        <v>41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Q93" s="71"/>
    </row>
    <row r="94" spans="1:17" ht="21">
      <c r="A94" s="71" t="s">
        <v>156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Q94" s="71"/>
    </row>
    <row r="95" spans="1:17" ht="2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3"/>
      <c r="O95" s="73"/>
      <c r="Q95" s="73"/>
    </row>
    <row r="96" spans="1:17" ht="21">
      <c r="A96" s="74"/>
      <c r="B96" s="74"/>
      <c r="C96" s="74"/>
      <c r="D96" s="74"/>
      <c r="H96" s="75"/>
      <c r="I96" s="75"/>
      <c r="J96" s="75"/>
      <c r="K96" s="75"/>
      <c r="L96" s="75"/>
      <c r="M96" s="75"/>
      <c r="N96" s="76"/>
      <c r="O96" s="112"/>
      <c r="Q96" s="112" t="s">
        <v>255</v>
      </c>
    </row>
    <row r="97" spans="7:17" s="77" customFormat="1" ht="21">
      <c r="G97" s="191" t="s">
        <v>33</v>
      </c>
      <c r="H97" s="191"/>
      <c r="I97" s="191"/>
      <c r="J97" s="191"/>
      <c r="K97" s="191"/>
      <c r="L97" s="78"/>
      <c r="M97" s="191" t="s">
        <v>107</v>
      </c>
      <c r="N97" s="191"/>
      <c r="O97" s="191"/>
      <c r="P97" s="191"/>
      <c r="Q97" s="191"/>
    </row>
    <row r="98" spans="5:17" ht="21">
      <c r="E98" s="79"/>
      <c r="F98" s="72"/>
      <c r="G98" s="82" t="s">
        <v>254</v>
      </c>
      <c r="H98" s="82"/>
      <c r="I98" s="82" t="s">
        <v>254</v>
      </c>
      <c r="J98" s="85"/>
      <c r="K98" s="82" t="s">
        <v>254</v>
      </c>
      <c r="L98" s="85"/>
      <c r="M98" s="82" t="s">
        <v>254</v>
      </c>
      <c r="N98" s="82"/>
      <c r="O98" s="82" t="s">
        <v>254</v>
      </c>
      <c r="Q98" s="82" t="s">
        <v>254</v>
      </c>
    </row>
    <row r="99" spans="6:17" ht="21">
      <c r="F99" s="72"/>
      <c r="G99" s="149" t="s">
        <v>304</v>
      </c>
      <c r="H99" s="80"/>
      <c r="I99" s="150" t="s">
        <v>259</v>
      </c>
      <c r="J99" s="82"/>
      <c r="K99" s="150" t="s">
        <v>270</v>
      </c>
      <c r="L99" s="82"/>
      <c r="M99" s="149" t="s">
        <v>304</v>
      </c>
      <c r="N99" s="80"/>
      <c r="O99" s="150" t="s">
        <v>259</v>
      </c>
      <c r="Q99" s="150" t="s">
        <v>270</v>
      </c>
    </row>
    <row r="100" spans="6:17" ht="21">
      <c r="F100" s="72"/>
      <c r="G100" s="80" t="s">
        <v>256</v>
      </c>
      <c r="H100" s="83"/>
      <c r="I100" s="80" t="s">
        <v>257</v>
      </c>
      <c r="J100" s="84"/>
      <c r="K100" s="80"/>
      <c r="L100" s="84"/>
      <c r="M100" s="80" t="s">
        <v>256</v>
      </c>
      <c r="N100" s="83"/>
      <c r="O100" s="80" t="s">
        <v>257</v>
      </c>
      <c r="Q100" s="80"/>
    </row>
    <row r="101" spans="5:17" ht="21">
      <c r="E101" s="79"/>
      <c r="F101" s="72"/>
      <c r="G101" s="80" t="s">
        <v>258</v>
      </c>
      <c r="H101" s="83"/>
      <c r="I101" s="80" t="s">
        <v>266</v>
      </c>
      <c r="J101" s="84"/>
      <c r="K101" s="80"/>
      <c r="L101" s="84"/>
      <c r="M101" s="80" t="s">
        <v>258</v>
      </c>
      <c r="N101" s="83"/>
      <c r="O101" s="80" t="s">
        <v>266</v>
      </c>
      <c r="Q101" s="80"/>
    </row>
    <row r="102" spans="1:17" ht="21">
      <c r="A102" s="71" t="s">
        <v>146</v>
      </c>
      <c r="E102" s="79"/>
      <c r="F102" s="72"/>
      <c r="I102" s="85"/>
      <c r="J102" s="85"/>
      <c r="K102" s="85"/>
      <c r="L102" s="85"/>
      <c r="M102" s="85"/>
      <c r="N102" s="85"/>
      <c r="O102" s="85"/>
      <c r="Q102" s="85"/>
    </row>
    <row r="103" spans="1:17" ht="21">
      <c r="A103" s="77" t="s">
        <v>9</v>
      </c>
      <c r="I103" s="85"/>
      <c r="J103" s="85"/>
      <c r="K103" s="85"/>
      <c r="L103" s="85"/>
      <c r="M103" s="85"/>
      <c r="N103" s="85"/>
      <c r="O103" s="85"/>
      <c r="Q103" s="85"/>
    </row>
    <row r="104" spans="1:17" ht="21">
      <c r="A104" s="72" t="s">
        <v>10</v>
      </c>
      <c r="E104" s="92"/>
      <c r="I104" s="85"/>
      <c r="J104" s="85"/>
      <c r="K104" s="85"/>
      <c r="L104" s="85"/>
      <c r="M104" s="85"/>
      <c r="N104" s="85"/>
      <c r="O104" s="85"/>
      <c r="Q104" s="85"/>
    </row>
    <row r="105" spans="1:17" ht="21">
      <c r="A105" s="72" t="s">
        <v>60</v>
      </c>
      <c r="B105" s="103"/>
      <c r="C105" s="103"/>
      <c r="E105" s="72"/>
      <c r="F105" s="88"/>
      <c r="G105" s="104"/>
      <c r="H105" s="104"/>
      <c r="I105" s="104"/>
      <c r="J105" s="104"/>
      <c r="K105" s="104"/>
      <c r="L105" s="104"/>
      <c r="M105" s="104"/>
      <c r="N105" s="104"/>
      <c r="O105" s="104"/>
      <c r="Q105" s="104"/>
    </row>
    <row r="106" spans="2:17" ht="21">
      <c r="B106" s="72" t="s">
        <v>221</v>
      </c>
      <c r="C106" s="103"/>
      <c r="E106" s="72"/>
      <c r="F106" s="88"/>
      <c r="G106" s="104"/>
      <c r="H106" s="104"/>
      <c r="I106" s="104"/>
      <c r="J106" s="104"/>
      <c r="K106" s="104"/>
      <c r="L106" s="104"/>
      <c r="M106" s="104"/>
      <c r="N106" s="104"/>
      <c r="O106" s="104"/>
      <c r="Q106" s="104"/>
    </row>
    <row r="107" spans="2:17" ht="21">
      <c r="B107" s="72" t="s">
        <v>327</v>
      </c>
      <c r="C107" s="103"/>
      <c r="E107" s="72"/>
      <c r="F107" s="88"/>
      <c r="G107" s="104"/>
      <c r="H107" s="104"/>
      <c r="I107" s="104"/>
      <c r="J107" s="104"/>
      <c r="K107" s="104"/>
      <c r="L107" s="104"/>
      <c r="M107" s="104"/>
      <c r="N107" s="104"/>
      <c r="O107" s="104"/>
      <c r="Q107" s="104"/>
    </row>
    <row r="108" spans="2:17" ht="21.75" thickBot="1">
      <c r="B108" s="72" t="s">
        <v>328</v>
      </c>
      <c r="C108" s="103"/>
      <c r="E108" s="92"/>
      <c r="F108" s="88"/>
      <c r="G108" s="105">
        <v>1700005</v>
      </c>
      <c r="H108" s="89"/>
      <c r="I108" s="105">
        <v>1700005</v>
      </c>
      <c r="J108" s="89"/>
      <c r="K108" s="105">
        <v>1553391</v>
      </c>
      <c r="L108" s="89"/>
      <c r="M108" s="105">
        <v>1700005</v>
      </c>
      <c r="N108" s="89"/>
      <c r="O108" s="105">
        <v>1700005</v>
      </c>
      <c r="Q108" s="105">
        <v>1553391</v>
      </c>
    </row>
    <row r="109" spans="1:17" ht="21.75" thickTop="1">
      <c r="A109" s="72" t="s">
        <v>61</v>
      </c>
      <c r="B109" s="103"/>
      <c r="C109" s="103"/>
      <c r="E109" s="106"/>
      <c r="F109" s="88"/>
      <c r="G109" s="89"/>
      <c r="H109" s="89"/>
      <c r="I109" s="89"/>
      <c r="J109" s="89"/>
      <c r="K109" s="89"/>
      <c r="L109" s="89"/>
      <c r="M109" s="89"/>
      <c r="N109" s="89"/>
      <c r="O109" s="89"/>
      <c r="Q109" s="89"/>
    </row>
    <row r="110" spans="2:17" ht="21">
      <c r="B110" s="72" t="s">
        <v>179</v>
      </c>
      <c r="C110" s="103"/>
      <c r="E110" s="106"/>
      <c r="F110" s="88"/>
      <c r="G110" s="89">
        <f>'CE'!D74</f>
        <v>1545459</v>
      </c>
      <c r="H110" s="89"/>
      <c r="I110" s="89">
        <f>'CE'!D62</f>
        <v>1545459</v>
      </c>
      <c r="J110" s="89"/>
      <c r="K110" s="89">
        <f>'CE'!D20</f>
        <v>1545459</v>
      </c>
      <c r="L110" s="89"/>
      <c r="M110" s="89">
        <f>'CE'!L118</f>
        <v>1545459</v>
      </c>
      <c r="N110" s="89"/>
      <c r="O110" s="89">
        <f>'CE'!L113</f>
        <v>1545459</v>
      </c>
      <c r="Q110" s="89">
        <f>'CE'!L101</f>
        <v>1545459</v>
      </c>
    </row>
    <row r="111" spans="1:17" ht="21">
      <c r="A111" s="72" t="s">
        <v>93</v>
      </c>
      <c r="B111" s="103"/>
      <c r="C111" s="103"/>
      <c r="E111" s="106"/>
      <c r="F111" s="88"/>
      <c r="G111" s="89"/>
      <c r="H111" s="89"/>
      <c r="I111" s="89"/>
      <c r="J111" s="89"/>
      <c r="K111" s="89"/>
      <c r="L111" s="89"/>
      <c r="M111" s="89"/>
      <c r="N111" s="89"/>
      <c r="O111" s="89"/>
      <c r="Q111" s="89"/>
    </row>
    <row r="112" spans="2:17" ht="21">
      <c r="B112" s="72" t="s">
        <v>20</v>
      </c>
      <c r="C112" s="103"/>
      <c r="E112" s="106"/>
      <c r="F112" s="88"/>
      <c r="G112" s="89">
        <f>'CE'!F74</f>
        <v>20022498</v>
      </c>
      <c r="H112" s="89"/>
      <c r="I112" s="89">
        <f>'CE'!F62</f>
        <v>20022498</v>
      </c>
      <c r="J112" s="89"/>
      <c r="K112" s="89">
        <f>'CE'!F20</f>
        <v>20022498</v>
      </c>
      <c r="L112" s="89"/>
      <c r="M112" s="89">
        <f>'CE'!N118</f>
        <v>19959574</v>
      </c>
      <c r="N112" s="89"/>
      <c r="O112" s="89">
        <f>'CE'!N113</f>
        <v>19959574</v>
      </c>
      <c r="Q112" s="89">
        <f>'CE'!N101</f>
        <v>19959574</v>
      </c>
    </row>
    <row r="113" spans="2:17" ht="21">
      <c r="B113" s="72" t="s">
        <v>79</v>
      </c>
      <c r="C113" s="103"/>
      <c r="E113" s="106"/>
      <c r="F113" s="88"/>
      <c r="G113" s="89">
        <f>'CE'!H74</f>
        <v>305000</v>
      </c>
      <c r="H113" s="89"/>
      <c r="I113" s="89">
        <f>'CE'!H62</f>
        <v>305000</v>
      </c>
      <c r="J113" s="89"/>
      <c r="K113" s="89">
        <f>'CE'!H20</f>
        <v>305000</v>
      </c>
      <c r="L113" s="89"/>
      <c r="M113" s="89">
        <v>0</v>
      </c>
      <c r="N113" s="89"/>
      <c r="O113" s="89">
        <v>0</v>
      </c>
      <c r="Q113" s="89">
        <v>0</v>
      </c>
    </row>
    <row r="114" spans="1:17" ht="21">
      <c r="A114" s="72" t="s">
        <v>47</v>
      </c>
      <c r="C114" s="103"/>
      <c r="E114" s="106"/>
      <c r="F114" s="88"/>
      <c r="G114" s="96"/>
      <c r="H114" s="89"/>
      <c r="I114" s="89"/>
      <c r="J114" s="89"/>
      <c r="K114" s="89"/>
      <c r="L114" s="89"/>
      <c r="M114" s="89"/>
      <c r="N114" s="89"/>
      <c r="O114" s="89"/>
      <c r="Q114" s="89"/>
    </row>
    <row r="115" spans="2:17" ht="21">
      <c r="B115" s="72" t="s">
        <v>62</v>
      </c>
      <c r="E115" s="106"/>
      <c r="F115" s="88"/>
      <c r="G115" s="89">
        <f>'CE'!J74</f>
        <v>170000</v>
      </c>
      <c r="H115" s="89"/>
      <c r="I115" s="89">
        <f>'CE'!J62</f>
        <v>170000</v>
      </c>
      <c r="J115" s="89"/>
      <c r="K115" s="89">
        <f>'CE'!J20</f>
        <v>155339</v>
      </c>
      <c r="L115" s="89"/>
      <c r="M115" s="89">
        <f>'CE'!P118</f>
        <v>170000</v>
      </c>
      <c r="N115" s="89"/>
      <c r="O115" s="89">
        <f>'CE'!P113</f>
        <v>170000</v>
      </c>
      <c r="Q115" s="89">
        <f>'CE'!P101</f>
        <v>155339</v>
      </c>
    </row>
    <row r="116" spans="2:17" ht="21">
      <c r="B116" s="72" t="s">
        <v>21</v>
      </c>
      <c r="E116" s="72"/>
      <c r="F116" s="72"/>
      <c r="G116" s="89">
        <f>'CE'!L74</f>
        <v>17235892</v>
      </c>
      <c r="H116" s="89"/>
      <c r="I116" s="89">
        <f>'CE'!L62</f>
        <v>15158378</v>
      </c>
      <c r="J116" s="89"/>
      <c r="K116" s="89">
        <f>'CE'!L20</f>
        <v>9141940</v>
      </c>
      <c r="L116" s="89"/>
      <c r="M116" s="89">
        <f>'CE'!R118</f>
        <v>3008624</v>
      </c>
      <c r="N116" s="89"/>
      <c r="O116" s="89">
        <f>'CE'!R113</f>
        <v>3436164</v>
      </c>
      <c r="Q116" s="89">
        <f>'CE'!R101</f>
        <v>2517688</v>
      </c>
    </row>
    <row r="117" spans="1:17" ht="21">
      <c r="A117" s="72" t="s">
        <v>159</v>
      </c>
      <c r="E117" s="72"/>
      <c r="F117" s="72"/>
      <c r="G117" s="94">
        <f>'CE'!X74</f>
        <v>-483807</v>
      </c>
      <c r="H117" s="89"/>
      <c r="I117" s="94">
        <f>'CE'!X62</f>
        <v>-348007</v>
      </c>
      <c r="J117" s="89"/>
      <c r="K117" s="94">
        <f>'CE'!X20</f>
        <v>297618</v>
      </c>
      <c r="L117" s="89"/>
      <c r="M117" s="94">
        <f>'CE'!X118</f>
        <v>734969</v>
      </c>
      <c r="N117" s="89"/>
      <c r="O117" s="94">
        <f>'CE'!X113</f>
        <v>793536</v>
      </c>
      <c r="Q117" s="94">
        <f>'CE'!X101</f>
        <v>1508323</v>
      </c>
    </row>
    <row r="118" spans="1:17" ht="21">
      <c r="A118" s="72" t="s">
        <v>185</v>
      </c>
      <c r="G118" s="96">
        <f>SUM(G110:G117)</f>
        <v>38795042</v>
      </c>
      <c r="H118" s="96"/>
      <c r="I118" s="96">
        <f>SUM(I110:I117)</f>
        <v>36853328</v>
      </c>
      <c r="J118" s="96"/>
      <c r="K118" s="96">
        <f>SUM(K110:K117)</f>
        <v>31467854</v>
      </c>
      <c r="L118" s="96"/>
      <c r="M118" s="96">
        <f>SUM(M110:M117)</f>
        <v>25418626</v>
      </c>
      <c r="N118" s="96"/>
      <c r="O118" s="96">
        <f>SUM(O110:O117)</f>
        <v>25904733</v>
      </c>
      <c r="Q118" s="96">
        <f>SUM(Q110:Q117)</f>
        <v>25686383</v>
      </c>
    </row>
    <row r="119" spans="1:18" ht="21">
      <c r="A119" s="72" t="s">
        <v>160</v>
      </c>
      <c r="G119" s="94">
        <f>'CE'!AB74</f>
        <v>1887971</v>
      </c>
      <c r="H119" s="96"/>
      <c r="I119" s="94">
        <f>'CE'!AB62</f>
        <v>1533635</v>
      </c>
      <c r="J119" s="96"/>
      <c r="K119" s="94">
        <f>'CE'!AB20</f>
        <v>1423850</v>
      </c>
      <c r="L119" s="96"/>
      <c r="M119" s="94">
        <v>0</v>
      </c>
      <c r="N119" s="96"/>
      <c r="O119" s="94" t="s">
        <v>55</v>
      </c>
      <c r="P119" s="107"/>
      <c r="Q119" s="94" t="s">
        <v>55</v>
      </c>
      <c r="R119" s="107"/>
    </row>
    <row r="120" spans="1:17" ht="21">
      <c r="A120" s="77" t="s">
        <v>11</v>
      </c>
      <c r="B120" s="77"/>
      <c r="G120" s="96">
        <f>SUM(G118:G119)</f>
        <v>40683013</v>
      </c>
      <c r="H120" s="96"/>
      <c r="I120" s="96">
        <f>SUM(I118:I119)</f>
        <v>38386963</v>
      </c>
      <c r="J120" s="96"/>
      <c r="K120" s="96">
        <f>SUM(K118:K119)</f>
        <v>32891704</v>
      </c>
      <c r="L120" s="96"/>
      <c r="M120" s="96">
        <f>SUM(M118:M119)</f>
        <v>25418626</v>
      </c>
      <c r="N120" s="96"/>
      <c r="O120" s="96">
        <f>SUM(O118:O119)</f>
        <v>25904733</v>
      </c>
      <c r="Q120" s="96">
        <f>SUM(Q118:Q119)</f>
        <v>25686383</v>
      </c>
    </row>
    <row r="121" spans="1:17" ht="21.75" thickBot="1">
      <c r="A121" s="77" t="s">
        <v>12</v>
      </c>
      <c r="G121" s="100">
        <f>SUM(G120+G82)</f>
        <v>74674566</v>
      </c>
      <c r="H121" s="96"/>
      <c r="I121" s="100">
        <f>SUM(I120+I82)</f>
        <v>68460981</v>
      </c>
      <c r="J121" s="89"/>
      <c r="K121" s="100">
        <f>SUM(K120+K82)</f>
        <v>58791932</v>
      </c>
      <c r="L121" s="89"/>
      <c r="M121" s="100">
        <f>SUM(M120+M82)</f>
        <v>54039999</v>
      </c>
      <c r="N121" s="96"/>
      <c r="O121" s="100">
        <f>SUM(O120+O82)</f>
        <v>50456221</v>
      </c>
      <c r="Q121" s="100">
        <f>SUM(Q120+Q82)</f>
        <v>41213735</v>
      </c>
    </row>
    <row r="122" spans="7:17" ht="21.75" thickTop="1">
      <c r="G122" s="108"/>
      <c r="H122" s="109"/>
      <c r="I122" s="108"/>
      <c r="J122" s="108"/>
      <c r="K122" s="108"/>
      <c r="L122" s="108"/>
      <c r="M122" s="108"/>
      <c r="N122" s="109"/>
      <c r="O122" s="108"/>
      <c r="Q122" s="108"/>
    </row>
    <row r="123" spans="1:17" ht="21">
      <c r="A123" s="72" t="s">
        <v>40</v>
      </c>
      <c r="B123" s="110"/>
      <c r="C123" s="110"/>
      <c r="D123" s="78"/>
      <c r="G123" s="85"/>
      <c r="I123" s="85"/>
      <c r="J123" s="85"/>
      <c r="K123" s="85"/>
      <c r="L123" s="85"/>
      <c r="M123" s="85"/>
      <c r="O123" s="85"/>
      <c r="Q123" s="85"/>
    </row>
    <row r="124" spans="1:17" ht="21">
      <c r="A124" s="110"/>
      <c r="B124" s="110"/>
      <c r="C124" s="110"/>
      <c r="D124" s="78"/>
      <c r="G124" s="85"/>
      <c r="I124" s="85"/>
      <c r="J124" s="85"/>
      <c r="K124" s="85"/>
      <c r="L124" s="85"/>
      <c r="M124" s="85"/>
      <c r="O124" s="85"/>
      <c r="Q124" s="85"/>
    </row>
    <row r="125" spans="1:17" ht="21">
      <c r="A125" s="111"/>
      <c r="B125" s="111"/>
      <c r="C125" s="111"/>
      <c r="D125" s="111"/>
      <c r="G125" s="85"/>
      <c r="I125" s="85"/>
      <c r="J125" s="85"/>
      <c r="K125" s="85"/>
      <c r="L125" s="85"/>
      <c r="M125" s="85"/>
      <c r="O125" s="85"/>
      <c r="Q125" s="85"/>
    </row>
    <row r="126" spans="1:17" ht="21">
      <c r="A126" s="110"/>
      <c r="B126" s="110"/>
      <c r="C126" s="110"/>
      <c r="D126" s="78"/>
      <c r="G126" s="85"/>
      <c r="I126" s="85"/>
      <c r="J126" s="85"/>
      <c r="K126" s="85"/>
      <c r="L126" s="85"/>
      <c r="M126" s="85"/>
      <c r="O126" s="85"/>
      <c r="Q126" s="85"/>
    </row>
    <row r="127" spans="1:17" ht="21">
      <c r="A127" s="110"/>
      <c r="C127" s="110"/>
      <c r="D127" s="78"/>
      <c r="E127" s="101" t="s">
        <v>77</v>
      </c>
      <c r="G127" s="85"/>
      <c r="I127" s="85"/>
      <c r="J127" s="85"/>
      <c r="K127" s="85"/>
      <c r="L127" s="85"/>
      <c r="M127" s="85"/>
      <c r="O127" s="85"/>
      <c r="Q127" s="85"/>
    </row>
    <row r="128" spans="1:17" ht="21">
      <c r="A128" s="111"/>
      <c r="B128" s="111"/>
      <c r="C128" s="111"/>
      <c r="D128" s="111"/>
      <c r="G128" s="85"/>
      <c r="I128" s="85"/>
      <c r="J128" s="85"/>
      <c r="K128" s="85"/>
      <c r="L128" s="85"/>
      <c r="M128" s="85"/>
      <c r="O128" s="85"/>
      <c r="Q128" s="85"/>
    </row>
    <row r="129" spans="7:17" ht="21">
      <c r="G129" s="85"/>
      <c r="I129" s="85"/>
      <c r="J129" s="85"/>
      <c r="K129" s="85"/>
      <c r="L129" s="85"/>
      <c r="M129" s="85"/>
      <c r="O129" s="85"/>
      <c r="Q129" s="85"/>
    </row>
    <row r="130" spans="7:17" ht="21">
      <c r="G130" s="85"/>
      <c r="I130" s="85"/>
      <c r="J130" s="85"/>
      <c r="K130" s="85"/>
      <c r="L130" s="85"/>
      <c r="M130" s="85"/>
      <c r="O130" s="85"/>
      <c r="Q130" s="85"/>
    </row>
    <row r="131" spans="7:17" ht="21">
      <c r="G131" s="85"/>
      <c r="I131" s="85"/>
      <c r="J131" s="85"/>
      <c r="K131" s="85"/>
      <c r="L131" s="85"/>
      <c r="M131" s="85"/>
      <c r="O131" s="85"/>
      <c r="Q131" s="85"/>
    </row>
    <row r="132" spans="7:17" ht="21">
      <c r="G132" s="85"/>
      <c r="I132" s="85"/>
      <c r="J132" s="85"/>
      <c r="K132" s="85"/>
      <c r="L132" s="85"/>
      <c r="M132" s="85"/>
      <c r="O132" s="85"/>
      <c r="Q132" s="85"/>
    </row>
    <row r="133" spans="7:17" ht="21">
      <c r="G133" s="85"/>
      <c r="I133" s="85"/>
      <c r="J133" s="85"/>
      <c r="K133" s="85"/>
      <c r="L133" s="85"/>
      <c r="M133" s="85"/>
      <c r="O133" s="85"/>
      <c r="Q133" s="85"/>
    </row>
    <row r="134" spans="7:17" ht="21">
      <c r="G134" s="85"/>
      <c r="I134" s="85"/>
      <c r="J134" s="85"/>
      <c r="K134" s="85"/>
      <c r="L134" s="85"/>
      <c r="M134" s="85"/>
      <c r="O134" s="85"/>
      <c r="Q134" s="85"/>
    </row>
    <row r="135" spans="7:17" ht="21">
      <c r="G135" s="85"/>
      <c r="I135" s="85"/>
      <c r="J135" s="85"/>
      <c r="K135" s="85"/>
      <c r="L135" s="85"/>
      <c r="M135" s="85"/>
      <c r="O135" s="85"/>
      <c r="Q135" s="85"/>
    </row>
    <row r="136" spans="7:17" ht="21">
      <c r="G136" s="85"/>
      <c r="I136" s="85"/>
      <c r="J136" s="85"/>
      <c r="K136" s="85"/>
      <c r="L136" s="85"/>
      <c r="M136" s="85"/>
      <c r="O136" s="85"/>
      <c r="Q136" s="85"/>
    </row>
    <row r="137" spans="7:17" ht="21">
      <c r="G137" s="85"/>
      <c r="I137" s="85"/>
      <c r="J137" s="85"/>
      <c r="K137" s="85"/>
      <c r="L137" s="85"/>
      <c r="M137" s="85"/>
      <c r="O137" s="85"/>
      <c r="Q137" s="85"/>
    </row>
    <row r="138" spans="1:17" s="160" customFormat="1" ht="23.25">
      <c r="A138" s="157"/>
      <c r="B138" s="157"/>
      <c r="C138" s="157"/>
      <c r="D138" s="158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Q138" s="157" t="s">
        <v>119</v>
      </c>
    </row>
    <row r="142" spans="15:17" ht="21">
      <c r="O142" s="72"/>
      <c r="Q142" s="72"/>
    </row>
  </sheetData>
  <sheetProtection/>
  <mergeCells count="6">
    <mergeCell ref="G5:K5"/>
    <mergeCell ref="M5:Q5"/>
    <mergeCell ref="G51:K51"/>
    <mergeCell ref="M51:Q51"/>
    <mergeCell ref="G97:K97"/>
    <mergeCell ref="M97:Q97"/>
  </mergeCells>
  <printOptions/>
  <pageMargins left="0.71" right="0.15748031496063" top="0.78740157480315" bottom="0.196850393700787" header="0.196850393700787" footer="0.196850393700787"/>
  <pageSetup firstPageNumber="3" useFirstPageNumber="1" horizontalDpi="600" verticalDpi="600" orientation="portrait" paperSize="9" scale="80" r:id="rId1"/>
  <rowBreaks count="2" manualBreakCount="2">
    <brk id="46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23"/>
  <sheetViews>
    <sheetView showGridLines="0" zoomScale="85" zoomScaleNormal="85" zoomScaleSheetLayoutView="100" zoomScalePageLayoutView="0" workbookViewId="0" topLeftCell="A1">
      <pane xSplit="6" topLeftCell="G1" activePane="topRight" state="frozen"/>
      <selection pane="topLeft" activeCell="D138" sqref="D138"/>
      <selection pane="topRight" activeCell="C2" sqref="C2"/>
    </sheetView>
  </sheetViews>
  <sheetFormatPr defaultColWidth="9.140625" defaultRowHeight="21.75"/>
  <cols>
    <col min="1" max="1" width="2.00390625" style="72" customWidth="1"/>
    <col min="2" max="3" width="2.7109375" style="72" customWidth="1"/>
    <col min="4" max="4" width="41.140625" style="72" customWidth="1"/>
    <col min="5" max="5" width="8.28125" style="74" customWidth="1"/>
    <col min="6" max="6" width="0.42578125" style="74" customWidth="1"/>
    <col min="7" max="7" width="13.140625" style="75" customWidth="1"/>
    <col min="8" max="8" width="0.42578125" style="78" customWidth="1"/>
    <col min="9" max="9" width="13.140625" style="78" customWidth="1"/>
    <col min="10" max="10" width="0.42578125" style="78" customWidth="1"/>
    <col min="11" max="11" width="13.140625" style="78" customWidth="1"/>
    <col min="12" max="12" width="0.42578125" style="78" customWidth="1"/>
    <col min="13" max="13" width="13.140625" style="78" customWidth="1"/>
    <col min="14" max="14" width="0.85546875" style="72" customWidth="1"/>
    <col min="15" max="15" width="10.28125" style="72" bestFit="1" customWidth="1"/>
    <col min="16" max="16" width="19.8515625" style="72" customWidth="1"/>
    <col min="17" max="17" width="12.28125" style="72" customWidth="1"/>
    <col min="18" max="18" width="9.421875" style="72" bestFit="1" customWidth="1"/>
    <col min="19" max="16384" width="9.140625" style="72" customWidth="1"/>
  </cols>
  <sheetData>
    <row r="1" spans="1:13" ht="2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72" t="s">
        <v>283</v>
      </c>
    </row>
    <row r="2" spans="1:13" ht="21" customHeight="1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1" customHeight="1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21" customHeight="1">
      <c r="A4" s="71" t="s">
        <v>305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3:13" ht="21" customHeight="1">
      <c r="C5" s="113"/>
      <c r="D5" s="113"/>
      <c r="E5" s="113"/>
      <c r="F5" s="114"/>
      <c r="G5" s="113"/>
      <c r="H5" s="113"/>
      <c r="I5" s="113"/>
      <c r="J5" s="113"/>
      <c r="M5" s="112" t="s">
        <v>260</v>
      </c>
    </row>
    <row r="6" spans="7:14" s="77" customFormat="1" ht="21" customHeight="1">
      <c r="G6" s="176"/>
      <c r="H6" s="176" t="s">
        <v>33</v>
      </c>
      <c r="I6" s="176"/>
      <c r="J6" s="78"/>
      <c r="K6" s="176"/>
      <c r="L6" s="176" t="s">
        <v>107</v>
      </c>
      <c r="M6" s="176"/>
      <c r="N6" s="72"/>
    </row>
    <row r="7" spans="5:13" ht="21" customHeight="1">
      <c r="E7" s="79" t="s">
        <v>26</v>
      </c>
      <c r="F7" s="72"/>
      <c r="G7" s="115">
        <v>2556</v>
      </c>
      <c r="H7" s="102"/>
      <c r="I7" s="115">
        <v>2555</v>
      </c>
      <c r="J7" s="81"/>
      <c r="K7" s="115">
        <v>2556</v>
      </c>
      <c r="L7" s="102"/>
      <c r="M7" s="115">
        <v>2555</v>
      </c>
    </row>
    <row r="8" spans="5:13" ht="21">
      <c r="E8" s="79"/>
      <c r="F8" s="72"/>
      <c r="G8" s="102"/>
      <c r="H8" s="102"/>
      <c r="I8" s="80" t="s">
        <v>266</v>
      </c>
      <c r="J8" s="81"/>
      <c r="K8" s="102"/>
      <c r="L8" s="102"/>
      <c r="M8" s="80" t="s">
        <v>266</v>
      </c>
    </row>
    <row r="9" spans="1:9" ht="21" customHeight="1">
      <c r="A9" s="77" t="s">
        <v>24</v>
      </c>
      <c r="I9" s="75"/>
    </row>
    <row r="10" spans="1:14" ht="21" customHeight="1">
      <c r="A10" s="72" t="s">
        <v>133</v>
      </c>
      <c r="B10" s="86"/>
      <c r="C10" s="86"/>
      <c r="E10" s="87">
        <v>6</v>
      </c>
      <c r="F10" s="88"/>
      <c r="G10" s="89">
        <f>G90-23554916</f>
        <v>12961307</v>
      </c>
      <c r="H10" s="89"/>
      <c r="I10" s="89">
        <v>11595409</v>
      </c>
      <c r="J10" s="89"/>
      <c r="K10" s="89">
        <f>K90-5372242</f>
        <v>2804953</v>
      </c>
      <c r="L10" s="89"/>
      <c r="M10" s="89">
        <v>2575083</v>
      </c>
      <c r="N10" s="77"/>
    </row>
    <row r="11" spans="1:13" ht="21" customHeight="1">
      <c r="A11" s="72" t="s">
        <v>48</v>
      </c>
      <c r="B11" s="116"/>
      <c r="C11" s="116"/>
      <c r="E11" s="87">
        <v>6</v>
      </c>
      <c r="F11" s="88"/>
      <c r="G11" s="89"/>
      <c r="H11" s="89"/>
      <c r="I11" s="89"/>
      <c r="J11" s="89"/>
      <c r="K11" s="89"/>
      <c r="L11" s="89"/>
      <c r="M11" s="89"/>
    </row>
    <row r="12" spans="2:13" ht="21" customHeight="1">
      <c r="B12" s="72" t="s">
        <v>183</v>
      </c>
      <c r="C12" s="86"/>
      <c r="E12" s="87"/>
      <c r="F12" s="88"/>
      <c r="G12" s="91">
        <f>G92-623705</f>
        <v>404802</v>
      </c>
      <c r="H12" s="89"/>
      <c r="I12" s="91">
        <v>311787</v>
      </c>
      <c r="J12" s="89"/>
      <c r="K12" s="91">
        <f>K92-26077</f>
        <v>13397</v>
      </c>
      <c r="L12" s="89"/>
      <c r="M12" s="91">
        <v>12684</v>
      </c>
    </row>
    <row r="13" spans="2:13" ht="21" customHeight="1">
      <c r="B13" s="72" t="s">
        <v>49</v>
      </c>
      <c r="C13" s="86"/>
      <c r="E13" s="87"/>
      <c r="F13" s="88"/>
      <c r="G13" s="142">
        <f>G93-26496</f>
        <v>12774</v>
      </c>
      <c r="H13" s="89"/>
      <c r="I13" s="142">
        <v>9903</v>
      </c>
      <c r="J13" s="89"/>
      <c r="K13" s="142">
        <f>K93-132781</f>
        <v>70009</v>
      </c>
      <c r="L13" s="89"/>
      <c r="M13" s="142">
        <v>71251</v>
      </c>
    </row>
    <row r="14" spans="2:13" ht="21" customHeight="1">
      <c r="B14" s="72" t="s">
        <v>112</v>
      </c>
      <c r="C14" s="86"/>
      <c r="E14" s="87" t="s">
        <v>302</v>
      </c>
      <c r="F14" s="88"/>
      <c r="G14" s="142">
        <f>G94-24666</f>
        <v>7298</v>
      </c>
      <c r="H14" s="89"/>
      <c r="I14" s="142">
        <v>4500</v>
      </c>
      <c r="J14" s="89"/>
      <c r="K14" s="142">
        <f>K94-1753199</f>
        <v>129342</v>
      </c>
      <c r="L14" s="89"/>
      <c r="M14" s="142">
        <v>109110</v>
      </c>
    </row>
    <row r="15" spans="2:13" ht="21" customHeight="1">
      <c r="B15" s="72" t="s">
        <v>50</v>
      </c>
      <c r="C15" s="86"/>
      <c r="E15" s="87"/>
      <c r="F15" s="88"/>
      <c r="G15" s="93">
        <f>G96-277724</f>
        <v>118455</v>
      </c>
      <c r="H15" s="96"/>
      <c r="I15" s="93">
        <v>124494</v>
      </c>
      <c r="J15" s="96"/>
      <c r="K15" s="93">
        <f>K96-317534</f>
        <v>206182</v>
      </c>
      <c r="L15" s="96"/>
      <c r="M15" s="93">
        <v>112819</v>
      </c>
    </row>
    <row r="16" spans="1:13" ht="21" customHeight="1">
      <c r="A16" s="72" t="s">
        <v>51</v>
      </c>
      <c r="C16" s="86"/>
      <c r="E16" s="87"/>
      <c r="F16" s="88"/>
      <c r="G16" s="89">
        <f>SUM(G12:G15)</f>
        <v>543329</v>
      </c>
      <c r="H16" s="89"/>
      <c r="I16" s="89">
        <f>SUM(I12:I15)</f>
        <v>450684</v>
      </c>
      <c r="J16" s="89"/>
      <c r="K16" s="89">
        <f>SUM(K12:K15)</f>
        <v>418930</v>
      </c>
      <c r="L16" s="89"/>
      <c r="M16" s="89">
        <f>SUM(M12:M15)</f>
        <v>305864</v>
      </c>
    </row>
    <row r="17" spans="1:13" ht="21" customHeight="1">
      <c r="A17" s="77" t="s">
        <v>14</v>
      </c>
      <c r="C17" s="86"/>
      <c r="E17" s="87"/>
      <c r="F17" s="88"/>
      <c r="G17" s="95">
        <f>SUM(G10:G16)-G16</f>
        <v>13504636</v>
      </c>
      <c r="H17" s="96"/>
      <c r="I17" s="95">
        <f>SUM(I10:I16)-I16</f>
        <v>12046093</v>
      </c>
      <c r="J17" s="96"/>
      <c r="K17" s="95">
        <f>SUM(K10:K16)-K16</f>
        <v>3223883</v>
      </c>
      <c r="L17" s="96"/>
      <c r="M17" s="95">
        <f>SUM(M10:M16)-M16</f>
        <v>2880947</v>
      </c>
    </row>
    <row r="18" spans="1:13" ht="21" customHeight="1">
      <c r="A18" s="77" t="s">
        <v>25</v>
      </c>
      <c r="E18" s="92"/>
      <c r="G18" s="89"/>
      <c r="H18" s="96"/>
      <c r="I18" s="96"/>
      <c r="J18" s="96"/>
      <c r="K18" s="89"/>
      <c r="L18" s="96"/>
      <c r="M18" s="96"/>
    </row>
    <row r="19" spans="1:13" ht="21" customHeight="1">
      <c r="A19" s="72" t="s">
        <v>192</v>
      </c>
      <c r="E19" s="92">
        <f>E10</f>
        <v>6</v>
      </c>
      <c r="G19" s="89">
        <f>G100-15781657-50000</f>
        <v>8432865</v>
      </c>
      <c r="H19" s="89"/>
      <c r="I19" s="89">
        <v>7581443</v>
      </c>
      <c r="J19" s="89"/>
      <c r="K19" s="89">
        <f>K100-3390294</f>
        <v>1753982</v>
      </c>
      <c r="L19" s="89"/>
      <c r="M19" s="89">
        <v>1642027</v>
      </c>
    </row>
    <row r="20" spans="1:13" ht="21" customHeight="1">
      <c r="A20" s="72" t="s">
        <v>122</v>
      </c>
      <c r="C20" s="86"/>
      <c r="D20" s="86"/>
      <c r="E20" s="87">
        <f>E11</f>
        <v>6</v>
      </c>
      <c r="F20" s="88"/>
      <c r="G20" s="89">
        <f>G101-4870347+50000</f>
        <v>3077292</v>
      </c>
      <c r="H20" s="89"/>
      <c r="I20" s="89">
        <v>2303054</v>
      </c>
      <c r="J20" s="89"/>
      <c r="K20" s="89">
        <f>K101-1549071</f>
        <v>952862</v>
      </c>
      <c r="L20" s="89"/>
      <c r="M20" s="89">
        <v>665409</v>
      </c>
    </row>
    <row r="21" spans="1:13" ht="21" customHeight="1">
      <c r="A21" s="77" t="s">
        <v>22</v>
      </c>
      <c r="E21" s="87"/>
      <c r="G21" s="95">
        <f>SUM(G19:G20)</f>
        <v>11510157</v>
      </c>
      <c r="H21" s="96"/>
      <c r="I21" s="95">
        <f>SUM(I19:I20)</f>
        <v>9884497</v>
      </c>
      <c r="J21" s="96"/>
      <c r="K21" s="95">
        <f>SUM(K19:K20)</f>
        <v>2706844</v>
      </c>
      <c r="L21" s="96"/>
      <c r="M21" s="95">
        <f>SUM(M19:M20)</f>
        <v>2307436</v>
      </c>
    </row>
    <row r="22" spans="1:13" ht="21" customHeight="1">
      <c r="A22" s="77" t="s">
        <v>141</v>
      </c>
      <c r="E22" s="87"/>
      <c r="G22" s="89"/>
      <c r="H22" s="178"/>
      <c r="I22" s="89"/>
      <c r="J22" s="178"/>
      <c r="K22" s="89"/>
      <c r="L22" s="178"/>
      <c r="M22" s="89"/>
    </row>
    <row r="23" spans="1:13" ht="21" customHeight="1">
      <c r="A23" s="77" t="s">
        <v>276</v>
      </c>
      <c r="E23" s="87"/>
      <c r="G23" s="89">
        <f>G17-G21</f>
        <v>1994479</v>
      </c>
      <c r="H23" s="96"/>
      <c r="I23" s="89">
        <f>I17-I21</f>
        <v>2161596</v>
      </c>
      <c r="J23" s="96"/>
      <c r="K23" s="89">
        <f>K17-K21</f>
        <v>517039</v>
      </c>
      <c r="L23" s="96"/>
      <c r="M23" s="89">
        <f>M17-M21</f>
        <v>573511</v>
      </c>
    </row>
    <row r="24" spans="1:13" s="107" customFormat="1" ht="21" customHeight="1">
      <c r="A24" s="107" t="s">
        <v>116</v>
      </c>
      <c r="E24" s="127">
        <v>7</v>
      </c>
      <c r="F24" s="80"/>
      <c r="G24" s="94">
        <f>G105-565171</f>
        <v>239824</v>
      </c>
      <c r="H24" s="89"/>
      <c r="I24" s="94">
        <v>561579</v>
      </c>
      <c r="J24" s="89"/>
      <c r="K24" s="94">
        <v>0</v>
      </c>
      <c r="L24" s="89"/>
      <c r="M24" s="94">
        <v>0</v>
      </c>
    </row>
    <row r="25" spans="1:13" s="107" customFormat="1" ht="21" customHeight="1">
      <c r="A25" s="77" t="s">
        <v>277</v>
      </c>
      <c r="E25" s="117"/>
      <c r="F25" s="80"/>
      <c r="G25" s="89">
        <f>SUM(G23:G24)</f>
        <v>2234303</v>
      </c>
      <c r="H25" s="89"/>
      <c r="I25" s="89">
        <f>SUM(I23:I24)</f>
        <v>2723175</v>
      </c>
      <c r="J25" s="89"/>
      <c r="K25" s="89">
        <f>SUM(K23:K24)</f>
        <v>517039</v>
      </c>
      <c r="L25" s="89"/>
      <c r="M25" s="89">
        <f>SUM(M23:M24)</f>
        <v>573511</v>
      </c>
    </row>
    <row r="26" spans="1:13" ht="21" customHeight="1">
      <c r="A26" s="72" t="s">
        <v>123</v>
      </c>
      <c r="E26" s="87">
        <f>E10</f>
        <v>6</v>
      </c>
      <c r="G26" s="94">
        <f>G107+457622</f>
        <v>-247822</v>
      </c>
      <c r="H26" s="89"/>
      <c r="I26" s="94">
        <v>-229332</v>
      </c>
      <c r="J26" s="89"/>
      <c r="K26" s="94">
        <f>K107+479185</f>
        <v>-261411</v>
      </c>
      <c r="L26" s="89"/>
      <c r="M26" s="94">
        <v>-239099</v>
      </c>
    </row>
    <row r="27" spans="1:13" ht="21" customHeight="1">
      <c r="A27" s="77" t="s">
        <v>278</v>
      </c>
      <c r="E27" s="87"/>
      <c r="G27" s="89">
        <f>SUM(G25:G26)</f>
        <v>1986481</v>
      </c>
      <c r="H27" s="96"/>
      <c r="I27" s="89">
        <f>SUM(I25:I26)</f>
        <v>2493843</v>
      </c>
      <c r="J27" s="96"/>
      <c r="K27" s="89">
        <f>SUM(K25:K26)</f>
        <v>255628</v>
      </c>
      <c r="L27" s="96"/>
      <c r="M27" s="89">
        <f>SUM(M25:M26)</f>
        <v>334412</v>
      </c>
    </row>
    <row r="28" spans="1:13" ht="21" customHeight="1">
      <c r="A28" s="72" t="s">
        <v>279</v>
      </c>
      <c r="E28" s="87"/>
      <c r="G28" s="89">
        <f>G109+665941</f>
        <v>-358820</v>
      </c>
      <c r="H28" s="96"/>
      <c r="I28" s="89">
        <f>I109+803111</f>
        <v>-409217</v>
      </c>
      <c r="J28" s="96"/>
      <c r="K28" s="89">
        <f>K109+72453</f>
        <v>-25998</v>
      </c>
      <c r="L28" s="96"/>
      <c r="M28" s="89">
        <f>M109+78932</f>
        <v>-44602</v>
      </c>
    </row>
    <row r="29" spans="1:13" ht="21" customHeight="1" thickBot="1">
      <c r="A29" s="77" t="s">
        <v>263</v>
      </c>
      <c r="E29" s="87"/>
      <c r="G29" s="100">
        <f>SUM(G27:G28)</f>
        <v>1627661</v>
      </c>
      <c r="H29" s="89"/>
      <c r="I29" s="100">
        <f>SUM(I27:I28)</f>
        <v>2084626</v>
      </c>
      <c r="J29" s="89"/>
      <c r="K29" s="100">
        <f>SUM(K27:K28)</f>
        <v>229630</v>
      </c>
      <c r="L29" s="89"/>
      <c r="M29" s="100">
        <f>SUM(M27:M28)</f>
        <v>289810</v>
      </c>
    </row>
    <row r="30" spans="5:13" ht="11.25" customHeight="1" thickTop="1">
      <c r="E30" s="87"/>
      <c r="G30" s="179"/>
      <c r="H30" s="85"/>
      <c r="I30" s="85"/>
      <c r="J30" s="85"/>
      <c r="K30" s="179"/>
      <c r="L30" s="85"/>
      <c r="M30" s="85"/>
    </row>
    <row r="31" spans="1:13" ht="21" customHeight="1">
      <c r="A31" s="77" t="s">
        <v>193</v>
      </c>
      <c r="G31" s="179"/>
      <c r="H31" s="96"/>
      <c r="I31" s="96"/>
      <c r="J31" s="96"/>
      <c r="K31" s="179"/>
      <c r="L31" s="89"/>
      <c r="M31" s="89"/>
    </row>
    <row r="32" spans="1:13" ht="21" customHeight="1" thickBot="1">
      <c r="A32" s="72" t="s">
        <v>186</v>
      </c>
      <c r="G32" s="179">
        <f>G29-G33</f>
        <v>1549082</v>
      </c>
      <c r="H32" s="89"/>
      <c r="I32" s="179">
        <f>I29-I33</f>
        <v>1985518</v>
      </c>
      <c r="J32" s="96"/>
      <c r="K32" s="180">
        <f>K29</f>
        <v>229630</v>
      </c>
      <c r="L32" s="96"/>
      <c r="M32" s="180">
        <f>M29</f>
        <v>289810</v>
      </c>
    </row>
    <row r="33" spans="1:13" ht="21" customHeight="1" thickTop="1">
      <c r="A33" s="72" t="s">
        <v>161</v>
      </c>
      <c r="G33" s="179">
        <f>G114-133023</f>
        <v>78579</v>
      </c>
      <c r="H33" s="89"/>
      <c r="I33" s="179">
        <f>I114-145854</f>
        <v>99108</v>
      </c>
      <c r="J33" s="96"/>
      <c r="K33" s="186"/>
      <c r="L33" s="96"/>
      <c r="M33" s="96"/>
    </row>
    <row r="34" spans="7:13" ht="21" customHeight="1" thickBot="1">
      <c r="G34" s="181">
        <f>SUM(G32:G33)</f>
        <v>1627661</v>
      </c>
      <c r="H34" s="89"/>
      <c r="I34" s="181">
        <f>SUM(I32:I33)</f>
        <v>2084626</v>
      </c>
      <c r="J34" s="96"/>
      <c r="K34" s="152"/>
      <c r="L34" s="96"/>
      <c r="M34" s="96"/>
    </row>
    <row r="35" spans="7:13" ht="11.25" customHeight="1" thickTop="1">
      <c r="G35" s="152"/>
      <c r="H35" s="89"/>
      <c r="I35" s="152"/>
      <c r="J35" s="96"/>
      <c r="K35" s="152"/>
      <c r="L35" s="96"/>
      <c r="M35" s="96"/>
    </row>
    <row r="36" spans="1:7" ht="21" customHeight="1">
      <c r="A36" s="77" t="s">
        <v>203</v>
      </c>
      <c r="B36" s="77"/>
      <c r="E36" s="92"/>
      <c r="G36" s="78"/>
    </row>
    <row r="37" spans="1:15" ht="21" customHeight="1" thickBot="1">
      <c r="A37" s="72" t="s">
        <v>292</v>
      </c>
      <c r="E37" s="87"/>
      <c r="G37" s="153">
        <f>G32*1000/G39</f>
        <v>1.0023443632437292</v>
      </c>
      <c r="H37" s="154"/>
      <c r="I37" s="153">
        <f>I32*1000/I39</f>
        <v>1.284743335355367</v>
      </c>
      <c r="J37" s="154"/>
      <c r="K37" s="153">
        <f>K32*1000/K39</f>
        <v>0.14858370062505247</v>
      </c>
      <c r="L37" s="154"/>
      <c r="M37" s="153">
        <f>M32*1000/M39</f>
        <v>0.18752359133452273</v>
      </c>
      <c r="O37" s="184"/>
    </row>
    <row r="38" spans="5:13" ht="21" customHeight="1" thickTop="1">
      <c r="E38" s="87"/>
      <c r="G38" s="85"/>
      <c r="H38" s="85"/>
      <c r="I38" s="85"/>
      <c r="J38" s="85"/>
      <c r="K38" s="85"/>
      <c r="L38" s="85"/>
      <c r="M38" s="85"/>
    </row>
    <row r="39" spans="1:14" s="107" customFormat="1" ht="24" customHeight="1" thickBot="1">
      <c r="A39" s="107" t="s">
        <v>39</v>
      </c>
      <c r="E39" s="87"/>
      <c r="F39" s="80"/>
      <c r="G39" s="105">
        <v>1545458883</v>
      </c>
      <c r="H39" s="89"/>
      <c r="I39" s="105">
        <v>1545458883</v>
      </c>
      <c r="J39" s="89"/>
      <c r="K39" s="105">
        <v>1545458883</v>
      </c>
      <c r="L39" s="89"/>
      <c r="M39" s="105">
        <v>1545458883</v>
      </c>
      <c r="N39" s="72"/>
    </row>
    <row r="40" spans="5:13" ht="7.5" customHeight="1" thickTop="1">
      <c r="E40" s="92"/>
      <c r="G40" s="104"/>
      <c r="H40" s="104"/>
      <c r="I40" s="104"/>
      <c r="J40" s="104"/>
      <c r="K40" s="104"/>
      <c r="L40" s="104"/>
      <c r="M40" s="104"/>
    </row>
    <row r="41" spans="1:13" ht="21" customHeight="1">
      <c r="A41" s="72" t="s">
        <v>40</v>
      </c>
      <c r="E41" s="92"/>
      <c r="G41" s="104"/>
      <c r="H41" s="104"/>
      <c r="I41" s="104"/>
      <c r="J41" s="104"/>
      <c r="K41" s="104"/>
      <c r="L41" s="104"/>
      <c r="M41" s="157" t="s">
        <v>280</v>
      </c>
    </row>
    <row r="42" spans="1:13" ht="21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12" t="s">
        <v>283</v>
      </c>
    </row>
    <row r="43" spans="1:13" ht="21" customHeight="1">
      <c r="A43" s="71" t="s">
        <v>41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21" customHeight="1">
      <c r="A44" s="71" t="s">
        <v>162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ht="21" customHeight="1">
      <c r="A45" s="71" t="s">
        <v>310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3:13" ht="21" customHeight="1">
      <c r="C46" s="75"/>
      <c r="D46" s="75"/>
      <c r="E46" s="75"/>
      <c r="H46" s="75"/>
      <c r="I46" s="75"/>
      <c r="J46" s="75"/>
      <c r="M46" s="112" t="s">
        <v>255</v>
      </c>
    </row>
    <row r="47" spans="7:14" s="77" customFormat="1" ht="21" customHeight="1">
      <c r="G47" s="176"/>
      <c r="H47" s="176" t="s">
        <v>33</v>
      </c>
      <c r="I47" s="176"/>
      <c r="J47" s="78"/>
      <c r="K47" s="176"/>
      <c r="L47" s="176" t="s">
        <v>107</v>
      </c>
      <c r="M47" s="176"/>
      <c r="N47" s="72"/>
    </row>
    <row r="48" spans="5:13" ht="21" customHeight="1">
      <c r="E48" s="79"/>
      <c r="F48" s="72"/>
      <c r="G48" s="115">
        <v>2556</v>
      </c>
      <c r="H48" s="102"/>
      <c r="I48" s="115">
        <v>2555</v>
      </c>
      <c r="J48" s="81"/>
      <c r="K48" s="115">
        <v>2556</v>
      </c>
      <c r="L48" s="102"/>
      <c r="M48" s="115">
        <v>2555</v>
      </c>
    </row>
    <row r="49" spans="5:13" ht="21">
      <c r="E49" s="79"/>
      <c r="F49" s="72"/>
      <c r="G49" s="102"/>
      <c r="H49" s="102"/>
      <c r="I49" s="80" t="s">
        <v>266</v>
      </c>
      <c r="J49" s="81"/>
      <c r="K49" s="102"/>
      <c r="L49" s="102"/>
      <c r="M49" s="80" t="s">
        <v>266</v>
      </c>
    </row>
    <row r="50" spans="5:13" s="107" customFormat="1" ht="21" customHeight="1">
      <c r="E50" s="182"/>
      <c r="G50" s="102"/>
      <c r="H50" s="102"/>
      <c r="I50" s="102"/>
      <c r="J50" s="183"/>
      <c r="K50" s="102"/>
      <c r="L50" s="102"/>
      <c r="M50" s="102"/>
    </row>
    <row r="51" spans="1:13" s="78" customFormat="1" ht="21" customHeight="1">
      <c r="A51" s="118" t="s">
        <v>263</v>
      </c>
      <c r="C51" s="119"/>
      <c r="D51" s="120"/>
      <c r="E51" s="121"/>
      <c r="F51" s="122"/>
      <c r="G51" s="135">
        <f>G29</f>
        <v>1627661</v>
      </c>
      <c r="H51" s="123"/>
      <c r="I51" s="135">
        <f>I29</f>
        <v>2084626</v>
      </c>
      <c r="J51" s="124"/>
      <c r="K51" s="135">
        <f>K32</f>
        <v>229630</v>
      </c>
      <c r="M51" s="135">
        <f>M32</f>
        <v>289810</v>
      </c>
    </row>
    <row r="52" spans="1:13" s="78" customFormat="1" ht="21" customHeight="1">
      <c r="A52" s="118"/>
      <c r="C52" s="119"/>
      <c r="D52" s="120"/>
      <c r="E52" s="121"/>
      <c r="F52" s="122"/>
      <c r="G52" s="125"/>
      <c r="H52" s="123"/>
      <c r="I52" s="125"/>
      <c r="J52" s="124"/>
      <c r="K52" s="125"/>
      <c r="M52" s="125"/>
    </row>
    <row r="53" spans="1:13" s="78" customFormat="1" ht="21" customHeight="1">
      <c r="A53" s="118" t="s">
        <v>163</v>
      </c>
      <c r="C53" s="119"/>
      <c r="D53" s="120"/>
      <c r="E53" s="121"/>
      <c r="F53" s="122"/>
      <c r="G53" s="125"/>
      <c r="H53" s="123"/>
      <c r="I53" s="125"/>
      <c r="J53" s="124"/>
      <c r="K53" s="125"/>
      <c r="M53" s="125"/>
    </row>
    <row r="54" spans="1:13" s="78" customFormat="1" ht="21" customHeight="1">
      <c r="A54" s="126" t="s">
        <v>319</v>
      </c>
      <c r="C54" s="119"/>
      <c r="D54" s="120"/>
      <c r="E54" s="121"/>
      <c r="F54" s="122"/>
      <c r="G54" s="125">
        <f>G135-20629</f>
        <v>-40099</v>
      </c>
      <c r="H54" s="123"/>
      <c r="I54" s="125">
        <f>I135-17266</f>
        <v>280</v>
      </c>
      <c r="J54" s="123"/>
      <c r="K54" s="125">
        <f>K135-20525</f>
        <v>-40152</v>
      </c>
      <c r="L54" s="178"/>
      <c r="M54" s="125">
        <f>M135-17149</f>
        <v>199</v>
      </c>
    </row>
    <row r="55" spans="1:13" s="78" customFormat="1" ht="21" customHeight="1">
      <c r="A55" s="126" t="s">
        <v>233</v>
      </c>
      <c r="C55" s="119"/>
      <c r="D55" s="120"/>
      <c r="E55" s="121"/>
      <c r="F55" s="122"/>
      <c r="G55" s="125"/>
      <c r="H55" s="123"/>
      <c r="I55" s="125"/>
      <c r="J55" s="123"/>
      <c r="K55" s="125"/>
      <c r="L55" s="178"/>
      <c r="M55" s="125"/>
    </row>
    <row r="56" spans="1:13" s="78" customFormat="1" ht="21" customHeight="1">
      <c r="A56" s="126" t="s">
        <v>234</v>
      </c>
      <c r="C56" s="119"/>
      <c r="D56" s="120"/>
      <c r="E56" s="121"/>
      <c r="F56" s="122"/>
      <c r="G56" s="125">
        <f>G142--19084</f>
        <v>43299</v>
      </c>
      <c r="H56" s="123"/>
      <c r="I56" s="125">
        <v>-32482</v>
      </c>
      <c r="J56" s="123"/>
      <c r="K56" s="125">
        <f>K142</f>
        <v>0</v>
      </c>
      <c r="L56" s="178"/>
      <c r="M56" s="125">
        <v>0</v>
      </c>
    </row>
    <row r="57" spans="1:13" s="78" customFormat="1" ht="21" customHeight="1">
      <c r="A57" s="126" t="s">
        <v>312</v>
      </c>
      <c r="C57" s="119"/>
      <c r="D57" s="120"/>
      <c r="E57" s="121"/>
      <c r="F57" s="122"/>
      <c r="G57" s="125">
        <f>G143</f>
        <v>-30498</v>
      </c>
      <c r="H57" s="123"/>
      <c r="I57" s="125">
        <v>0</v>
      </c>
      <c r="J57" s="123"/>
      <c r="K57" s="125">
        <f>K143</f>
        <v>-38940</v>
      </c>
      <c r="L57" s="178"/>
      <c r="M57" s="125">
        <v>0</v>
      </c>
    </row>
    <row r="58" spans="1:13" s="78" customFormat="1" ht="21" customHeight="1">
      <c r="A58" s="126" t="s">
        <v>329</v>
      </c>
      <c r="C58" s="119"/>
      <c r="D58" s="120"/>
      <c r="E58" s="121"/>
      <c r="F58" s="122"/>
      <c r="G58" s="125">
        <f>G144</f>
        <v>0</v>
      </c>
      <c r="H58" s="123"/>
      <c r="I58" s="125">
        <v>0</v>
      </c>
      <c r="J58" s="123"/>
      <c r="K58" s="125">
        <f>K144</f>
        <v>13671</v>
      </c>
      <c r="L58" s="178"/>
      <c r="M58" s="125">
        <v>0</v>
      </c>
    </row>
    <row r="59" spans="1:13" s="78" customFormat="1" ht="21" customHeight="1">
      <c r="A59" s="126" t="s">
        <v>178</v>
      </c>
      <c r="C59" s="119"/>
      <c r="D59" s="120"/>
      <c r="E59" s="121"/>
      <c r="F59" s="122"/>
      <c r="G59" s="125">
        <f>G145-34420</f>
        <v>-61270</v>
      </c>
      <c r="H59" s="123"/>
      <c r="I59" s="125">
        <v>23011</v>
      </c>
      <c r="J59" s="123"/>
      <c r="K59" s="125">
        <f>K145</f>
        <v>0</v>
      </c>
      <c r="L59" s="178"/>
      <c r="M59" s="125">
        <v>0</v>
      </c>
    </row>
    <row r="60" spans="1:13" s="78" customFormat="1" ht="21" customHeight="1">
      <c r="A60" s="118" t="s">
        <v>264</v>
      </c>
      <c r="C60" s="119"/>
      <c r="D60" s="120"/>
      <c r="E60" s="121"/>
      <c r="F60" s="122"/>
      <c r="G60" s="136">
        <f>SUM(G54:G59)</f>
        <v>-88568</v>
      </c>
      <c r="H60" s="123"/>
      <c r="I60" s="136">
        <f>SUM(I54:I59)</f>
        <v>-9191</v>
      </c>
      <c r="J60" s="123"/>
      <c r="K60" s="136">
        <f>SUM(K54:K59)</f>
        <v>-65421</v>
      </c>
      <c r="L60" s="178"/>
      <c r="M60" s="136">
        <f>SUM(M54:M59)</f>
        <v>199</v>
      </c>
    </row>
    <row r="61" spans="1:13" s="78" customFormat="1" ht="21" customHeight="1">
      <c r="A61" s="118"/>
      <c r="C61" s="119"/>
      <c r="D61" s="120"/>
      <c r="E61" s="121"/>
      <c r="F61" s="122"/>
      <c r="G61" s="125"/>
      <c r="H61" s="123"/>
      <c r="I61" s="125"/>
      <c r="J61" s="123"/>
      <c r="K61" s="125"/>
      <c r="L61" s="178"/>
      <c r="M61" s="125"/>
    </row>
    <row r="62" spans="1:13" s="78" customFormat="1" ht="21" customHeight="1" thickBot="1">
      <c r="A62" s="118" t="s">
        <v>265</v>
      </c>
      <c r="C62" s="119"/>
      <c r="D62" s="120"/>
      <c r="E62" s="121"/>
      <c r="F62" s="122"/>
      <c r="G62" s="137">
        <f>G51+G60</f>
        <v>1539093</v>
      </c>
      <c r="H62" s="123"/>
      <c r="I62" s="137">
        <f>I51+I60</f>
        <v>2075435</v>
      </c>
      <c r="J62" s="123"/>
      <c r="K62" s="137">
        <f>K51+K60</f>
        <v>164209</v>
      </c>
      <c r="L62" s="178"/>
      <c r="M62" s="137">
        <f>M51+M60</f>
        <v>290009</v>
      </c>
    </row>
    <row r="63" spans="1:13" s="78" customFormat="1" ht="21" customHeight="1" thickTop="1">
      <c r="A63" s="118"/>
      <c r="C63" s="119"/>
      <c r="D63" s="120"/>
      <c r="E63" s="121"/>
      <c r="F63" s="122"/>
      <c r="G63" s="125"/>
      <c r="H63" s="123"/>
      <c r="I63" s="125"/>
      <c r="J63" s="124"/>
      <c r="K63" s="125"/>
      <c r="M63" s="125"/>
    </row>
    <row r="64" spans="1:17" s="78" customFormat="1" ht="21" customHeight="1">
      <c r="A64" s="118" t="s">
        <v>164</v>
      </c>
      <c r="C64" s="119"/>
      <c r="D64" s="120"/>
      <c r="E64" s="121"/>
      <c r="F64" s="122"/>
      <c r="G64" s="125"/>
      <c r="H64" s="123"/>
      <c r="I64" s="125"/>
      <c r="J64" s="124"/>
      <c r="K64" s="125"/>
      <c r="M64" s="125"/>
      <c r="Q64" s="78" t="s">
        <v>296</v>
      </c>
    </row>
    <row r="65" spans="1:13" s="78" customFormat="1" ht="21" customHeight="1" thickBot="1">
      <c r="A65" s="72" t="s">
        <v>186</v>
      </c>
      <c r="C65" s="119"/>
      <c r="D65" s="120"/>
      <c r="E65" s="121"/>
      <c r="F65" s="122"/>
      <c r="G65" s="125">
        <f>G67-G66</f>
        <v>1460065</v>
      </c>
      <c r="H65" s="123"/>
      <c r="I65" s="125">
        <f>I62-I66</f>
        <v>1976987</v>
      </c>
      <c r="J65" s="124"/>
      <c r="K65" s="105">
        <f>K62</f>
        <v>164209</v>
      </c>
      <c r="L65" s="96"/>
      <c r="M65" s="105">
        <f>M62</f>
        <v>290009</v>
      </c>
    </row>
    <row r="66" spans="1:13" s="78" customFormat="1" ht="21" customHeight="1" thickTop="1">
      <c r="A66" s="72" t="s">
        <v>161</v>
      </c>
      <c r="C66" s="119"/>
      <c r="D66" s="120"/>
      <c r="E66" s="121"/>
      <c r="F66" s="122"/>
      <c r="G66" s="135">
        <f>G152-129800</f>
        <v>79028</v>
      </c>
      <c r="H66" s="123"/>
      <c r="I66" s="135">
        <f>I152-145938</f>
        <v>98448</v>
      </c>
      <c r="J66" s="124"/>
      <c r="K66" s="96"/>
      <c r="L66" s="96"/>
      <c r="M66" s="96"/>
    </row>
    <row r="67" spans="1:13" s="78" customFormat="1" ht="21" customHeight="1" thickBot="1">
      <c r="A67" s="118"/>
      <c r="C67" s="119"/>
      <c r="D67" s="120"/>
      <c r="E67" s="121"/>
      <c r="F67" s="122"/>
      <c r="G67" s="138">
        <f>G62</f>
        <v>1539093</v>
      </c>
      <c r="H67" s="123"/>
      <c r="I67" s="138">
        <f>I62</f>
        <v>2075435</v>
      </c>
      <c r="J67" s="124"/>
      <c r="K67" s="96"/>
      <c r="L67" s="96"/>
      <c r="M67" s="96"/>
    </row>
    <row r="68" spans="1:13" s="78" customFormat="1" ht="21" customHeight="1" thickTop="1">
      <c r="A68" s="72" t="s">
        <v>40</v>
      </c>
      <c r="C68" s="119"/>
      <c r="D68" s="120"/>
      <c r="E68" s="121"/>
      <c r="F68" s="122"/>
      <c r="G68" s="125"/>
      <c r="H68" s="123"/>
      <c r="I68" s="125"/>
      <c r="J68" s="124"/>
      <c r="K68" s="125"/>
      <c r="M68" s="125"/>
    </row>
    <row r="69" spans="1:13" s="78" customFormat="1" ht="21" customHeight="1">
      <c r="A69" s="118"/>
      <c r="C69" s="119"/>
      <c r="D69" s="120"/>
      <c r="E69" s="121"/>
      <c r="F69" s="122"/>
      <c r="G69" s="125"/>
      <c r="H69" s="123"/>
      <c r="I69" s="125"/>
      <c r="J69" s="124"/>
      <c r="K69" s="125"/>
      <c r="M69" s="125"/>
    </row>
    <row r="70" spans="1:13" s="78" customFormat="1" ht="21" customHeight="1">
      <c r="A70" s="118"/>
      <c r="C70" s="119"/>
      <c r="D70" s="120"/>
      <c r="E70" s="121"/>
      <c r="F70" s="122"/>
      <c r="G70" s="125"/>
      <c r="H70" s="123"/>
      <c r="I70" s="125"/>
      <c r="J70" s="124"/>
      <c r="K70" s="125"/>
      <c r="M70" s="125"/>
    </row>
    <row r="71" spans="1:13" s="78" customFormat="1" ht="21" customHeight="1">
      <c r="A71" s="118"/>
      <c r="C71" s="119"/>
      <c r="D71" s="120"/>
      <c r="E71" s="121"/>
      <c r="F71" s="122"/>
      <c r="G71" s="125"/>
      <c r="H71" s="123"/>
      <c r="I71" s="125"/>
      <c r="J71" s="124"/>
      <c r="K71" s="125"/>
      <c r="M71" s="125"/>
    </row>
    <row r="72" spans="1:13" s="78" customFormat="1" ht="21" customHeight="1">
      <c r="A72" s="118"/>
      <c r="C72" s="119"/>
      <c r="D72" s="120"/>
      <c r="E72" s="121"/>
      <c r="F72" s="122"/>
      <c r="G72" s="125"/>
      <c r="H72" s="123"/>
      <c r="I72" s="125"/>
      <c r="J72" s="124"/>
      <c r="K72" s="125"/>
      <c r="M72" s="125"/>
    </row>
    <row r="73" spans="1:13" s="78" customFormat="1" ht="21" customHeight="1">
      <c r="A73" s="118"/>
      <c r="C73" s="119"/>
      <c r="D73" s="120"/>
      <c r="E73" s="121"/>
      <c r="F73" s="122"/>
      <c r="G73" s="125"/>
      <c r="H73" s="123"/>
      <c r="I73" s="125"/>
      <c r="J73" s="124"/>
      <c r="K73" s="125"/>
      <c r="M73" s="125"/>
    </row>
    <row r="74" spans="1:13" s="78" customFormat="1" ht="21" customHeight="1">
      <c r="A74" s="118"/>
      <c r="C74" s="119"/>
      <c r="D74" s="120"/>
      <c r="E74" s="121"/>
      <c r="F74" s="122"/>
      <c r="G74" s="125"/>
      <c r="H74" s="123"/>
      <c r="I74" s="125"/>
      <c r="J74" s="124"/>
      <c r="K74" s="125"/>
      <c r="M74" s="125"/>
    </row>
    <row r="75" spans="1:13" s="78" customFormat="1" ht="21" customHeight="1">
      <c r="A75" s="118"/>
      <c r="C75" s="119"/>
      <c r="D75" s="120"/>
      <c r="E75" s="121"/>
      <c r="F75" s="122"/>
      <c r="G75" s="125"/>
      <c r="H75" s="123"/>
      <c r="I75" s="125"/>
      <c r="J75" s="124"/>
      <c r="K75" s="125"/>
      <c r="M75" s="125"/>
    </row>
    <row r="76" spans="1:13" s="78" customFormat="1" ht="21" customHeight="1">
      <c r="A76" s="118"/>
      <c r="C76" s="119"/>
      <c r="D76" s="120"/>
      <c r="E76" s="121"/>
      <c r="F76" s="122"/>
      <c r="G76" s="125"/>
      <c r="H76" s="123"/>
      <c r="I76" s="125"/>
      <c r="J76" s="124"/>
      <c r="K76" s="125"/>
      <c r="M76" s="125"/>
    </row>
    <row r="77" spans="1:13" s="78" customFormat="1" ht="21" customHeight="1">
      <c r="A77" s="118"/>
      <c r="C77" s="119"/>
      <c r="D77" s="120"/>
      <c r="E77" s="121"/>
      <c r="F77" s="122"/>
      <c r="G77" s="125"/>
      <c r="H77" s="123"/>
      <c r="I77" s="125"/>
      <c r="J77" s="124"/>
      <c r="K77" s="125"/>
      <c r="M77" s="125"/>
    </row>
    <row r="78" spans="1:13" s="78" customFormat="1" ht="21" customHeight="1">
      <c r="A78" s="118"/>
      <c r="C78" s="119"/>
      <c r="D78" s="120"/>
      <c r="E78" s="121"/>
      <c r="F78" s="122"/>
      <c r="G78" s="125"/>
      <c r="H78" s="123"/>
      <c r="I78" s="125"/>
      <c r="J78" s="124"/>
      <c r="K78" s="125"/>
      <c r="M78" s="125"/>
    </row>
    <row r="79" spans="1:13" s="78" customFormat="1" ht="21" customHeight="1">
      <c r="A79" s="118"/>
      <c r="C79" s="119"/>
      <c r="D79" s="120"/>
      <c r="E79" s="121"/>
      <c r="F79" s="122"/>
      <c r="G79" s="125"/>
      <c r="H79" s="123"/>
      <c r="I79" s="125"/>
      <c r="J79" s="124"/>
      <c r="K79" s="125"/>
      <c r="M79" s="125"/>
    </row>
    <row r="80" spans="5:13" ht="21" customHeight="1">
      <c r="E80" s="79"/>
      <c r="F80" s="72"/>
      <c r="G80" s="102"/>
      <c r="H80" s="102"/>
      <c r="I80" s="74"/>
      <c r="J80" s="81"/>
      <c r="K80" s="102"/>
      <c r="L80" s="102"/>
      <c r="M80" s="157" t="s">
        <v>281</v>
      </c>
    </row>
    <row r="81" spans="1:13" ht="21" customHeight="1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12" t="s">
        <v>283</v>
      </c>
    </row>
    <row r="82" spans="1:13" ht="21">
      <c r="A82" s="71" t="s">
        <v>41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112"/>
    </row>
    <row r="83" spans="1:13" ht="21">
      <c r="A83" s="71" t="s">
        <v>13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</row>
    <row r="84" spans="1:13" ht="21">
      <c r="A84" s="71" t="s">
        <v>306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</row>
    <row r="85" spans="3:13" ht="21">
      <c r="C85" s="113"/>
      <c r="D85" s="113"/>
      <c r="E85" s="113"/>
      <c r="F85" s="114"/>
      <c r="G85" s="113"/>
      <c r="H85" s="113"/>
      <c r="I85" s="113"/>
      <c r="J85" s="113"/>
      <c r="M85" s="112" t="s">
        <v>260</v>
      </c>
    </row>
    <row r="86" spans="7:14" s="77" customFormat="1" ht="21">
      <c r="G86" s="191" t="s">
        <v>33</v>
      </c>
      <c r="H86" s="191"/>
      <c r="I86" s="191"/>
      <c r="J86" s="191"/>
      <c r="K86" s="191" t="s">
        <v>107</v>
      </c>
      <c r="L86" s="191"/>
      <c r="M86" s="191"/>
      <c r="N86" s="191"/>
    </row>
    <row r="87" spans="5:13" ht="21">
      <c r="E87" s="79" t="s">
        <v>26</v>
      </c>
      <c r="F87" s="72"/>
      <c r="G87" s="115">
        <v>2556</v>
      </c>
      <c r="H87" s="102"/>
      <c r="I87" s="115">
        <v>2555</v>
      </c>
      <c r="J87" s="81"/>
      <c r="K87" s="115">
        <v>2556</v>
      </c>
      <c r="L87" s="102"/>
      <c r="M87" s="115">
        <v>2555</v>
      </c>
    </row>
    <row r="88" spans="5:13" ht="21">
      <c r="E88" s="79"/>
      <c r="F88" s="72"/>
      <c r="G88" s="102"/>
      <c r="H88" s="102"/>
      <c r="I88" s="80" t="s">
        <v>266</v>
      </c>
      <c r="J88" s="81"/>
      <c r="K88" s="102"/>
      <c r="L88" s="102"/>
      <c r="M88" s="80" t="s">
        <v>266</v>
      </c>
    </row>
    <row r="89" spans="1:9" ht="21">
      <c r="A89" s="77" t="s">
        <v>24</v>
      </c>
      <c r="I89" s="75"/>
    </row>
    <row r="90" spans="1:14" ht="21">
      <c r="A90" s="72" t="s">
        <v>133</v>
      </c>
      <c r="B90" s="86"/>
      <c r="C90" s="86"/>
      <c r="E90" s="87">
        <v>6</v>
      </c>
      <c r="F90" s="88"/>
      <c r="G90" s="89">
        <v>36516223</v>
      </c>
      <c r="H90" s="89"/>
      <c r="I90" s="89">
        <v>32654654</v>
      </c>
      <c r="J90" s="89"/>
      <c r="K90" s="89">
        <v>8177195</v>
      </c>
      <c r="L90" s="89"/>
      <c r="M90" s="89">
        <v>7438886</v>
      </c>
      <c r="N90" s="77"/>
    </row>
    <row r="91" spans="1:13" ht="21">
      <c r="A91" s="72" t="s">
        <v>48</v>
      </c>
      <c r="B91" s="116"/>
      <c r="C91" s="116"/>
      <c r="E91" s="87">
        <v>6</v>
      </c>
      <c r="F91" s="88"/>
      <c r="G91" s="89"/>
      <c r="H91" s="89"/>
      <c r="I91" s="89"/>
      <c r="J91" s="89"/>
      <c r="K91" s="89"/>
      <c r="L91" s="89"/>
      <c r="M91" s="89"/>
    </row>
    <row r="92" spans="2:13" ht="21">
      <c r="B92" s="72" t="s">
        <v>183</v>
      </c>
      <c r="C92" s="86"/>
      <c r="E92" s="87"/>
      <c r="F92" s="88"/>
      <c r="G92" s="91">
        <v>1028507</v>
      </c>
      <c r="H92" s="89"/>
      <c r="I92" s="91">
        <v>921217</v>
      </c>
      <c r="J92" s="89"/>
      <c r="K92" s="91">
        <v>39474</v>
      </c>
      <c r="L92" s="89"/>
      <c r="M92" s="91">
        <v>34965</v>
      </c>
    </row>
    <row r="93" spans="2:13" ht="21" customHeight="1">
      <c r="B93" s="72" t="s">
        <v>49</v>
      </c>
      <c r="C93" s="86"/>
      <c r="E93" s="87"/>
      <c r="F93" s="88"/>
      <c r="G93" s="142">
        <v>39270</v>
      </c>
      <c r="H93" s="89"/>
      <c r="I93" s="142">
        <v>41641</v>
      </c>
      <c r="J93" s="89"/>
      <c r="K93" s="142">
        <v>202790</v>
      </c>
      <c r="L93" s="89"/>
      <c r="M93" s="142">
        <v>136259</v>
      </c>
    </row>
    <row r="94" spans="2:13" ht="21" customHeight="1">
      <c r="B94" s="72" t="s">
        <v>112</v>
      </c>
      <c r="C94" s="86"/>
      <c r="E94" s="87" t="s">
        <v>302</v>
      </c>
      <c r="F94" s="88"/>
      <c r="G94" s="142">
        <v>31964</v>
      </c>
      <c r="H94" s="89"/>
      <c r="I94" s="142">
        <v>6926</v>
      </c>
      <c r="J94" s="89"/>
      <c r="K94" s="142">
        <v>1882541</v>
      </c>
      <c r="L94" s="89"/>
      <c r="M94" s="142">
        <v>1025737</v>
      </c>
    </row>
    <row r="95" spans="2:13" ht="21" customHeight="1">
      <c r="B95" s="72" t="s">
        <v>191</v>
      </c>
      <c r="C95" s="86"/>
      <c r="E95" s="87" t="s">
        <v>303</v>
      </c>
      <c r="F95" s="88"/>
      <c r="G95" s="142">
        <v>131239</v>
      </c>
      <c r="H95" s="89"/>
      <c r="I95" s="142">
        <v>1795048</v>
      </c>
      <c r="J95" s="89"/>
      <c r="K95" s="142">
        <v>0</v>
      </c>
      <c r="L95" s="89"/>
      <c r="M95" s="142">
        <v>0</v>
      </c>
    </row>
    <row r="96" spans="2:13" ht="21">
      <c r="B96" s="72" t="s">
        <v>50</v>
      </c>
      <c r="C96" s="86"/>
      <c r="E96" s="87"/>
      <c r="F96" s="88"/>
      <c r="G96" s="93">
        <v>396179</v>
      </c>
      <c r="H96" s="96"/>
      <c r="I96" s="93">
        <v>351847</v>
      </c>
      <c r="J96" s="96"/>
      <c r="K96" s="93">
        <v>523716</v>
      </c>
      <c r="L96" s="96"/>
      <c r="M96" s="93">
        <v>309044</v>
      </c>
    </row>
    <row r="97" spans="1:13" ht="21">
      <c r="A97" s="72" t="s">
        <v>51</v>
      </c>
      <c r="C97" s="86"/>
      <c r="E97" s="87"/>
      <c r="F97" s="88"/>
      <c r="G97" s="89">
        <f>SUM(G92:G96)</f>
        <v>1627159</v>
      </c>
      <c r="H97" s="89"/>
      <c r="I97" s="89">
        <f>SUM(I92:I96)</f>
        <v>3116679</v>
      </c>
      <c r="J97" s="89"/>
      <c r="K97" s="89">
        <f>SUM(K92:K96)</f>
        <v>2648521</v>
      </c>
      <c r="L97" s="89"/>
      <c r="M97" s="89">
        <v>1506005</v>
      </c>
    </row>
    <row r="98" spans="1:13" ht="21">
      <c r="A98" s="77" t="s">
        <v>14</v>
      </c>
      <c r="C98" s="86"/>
      <c r="E98" s="87"/>
      <c r="F98" s="88"/>
      <c r="G98" s="95">
        <f>SUM(G90:G97)-G97</f>
        <v>38143382</v>
      </c>
      <c r="H98" s="96"/>
      <c r="I98" s="95">
        <f>SUM(I90:I97)-I97</f>
        <v>35771333</v>
      </c>
      <c r="J98" s="96"/>
      <c r="K98" s="95">
        <f>SUM(K90:K97)-K97</f>
        <v>10825716</v>
      </c>
      <c r="L98" s="96"/>
      <c r="M98" s="95">
        <f>SUM(M90:M97)-M97</f>
        <v>8944891</v>
      </c>
    </row>
    <row r="99" spans="1:13" ht="21">
      <c r="A99" s="77" t="s">
        <v>25</v>
      </c>
      <c r="E99" s="92"/>
      <c r="G99" s="96"/>
      <c r="H99" s="96"/>
      <c r="I99" s="96"/>
      <c r="J99" s="96"/>
      <c r="K99" s="96"/>
      <c r="L99" s="96"/>
      <c r="M99" s="96"/>
    </row>
    <row r="100" spans="1:13" ht="21">
      <c r="A100" s="72" t="s">
        <v>192</v>
      </c>
      <c r="E100" s="92">
        <v>6</v>
      </c>
      <c r="G100" s="89">
        <v>24264522</v>
      </c>
      <c r="H100" s="89"/>
      <c r="I100" s="89">
        <v>21511495</v>
      </c>
      <c r="J100" s="89"/>
      <c r="K100" s="89">
        <v>5144276</v>
      </c>
      <c r="L100" s="89"/>
      <c r="M100" s="89">
        <v>4727400</v>
      </c>
    </row>
    <row r="101" spans="1:13" ht="21">
      <c r="A101" s="72" t="s">
        <v>122</v>
      </c>
      <c r="C101" s="86"/>
      <c r="D101" s="86"/>
      <c r="E101" s="87">
        <v>6</v>
      </c>
      <c r="F101" s="88"/>
      <c r="G101" s="89">
        <v>7897639</v>
      </c>
      <c r="H101" s="89"/>
      <c r="I101" s="89">
        <v>6551755</v>
      </c>
      <c r="J101" s="89"/>
      <c r="K101" s="89">
        <v>2501933</v>
      </c>
      <c r="L101" s="89"/>
      <c r="M101" s="89">
        <v>2131512</v>
      </c>
    </row>
    <row r="102" spans="1:13" ht="21">
      <c r="A102" s="77" t="s">
        <v>22</v>
      </c>
      <c r="E102" s="87"/>
      <c r="G102" s="95">
        <f>SUM(G100:G101)</f>
        <v>32162161</v>
      </c>
      <c r="H102" s="96"/>
      <c r="I102" s="95">
        <f>SUM(I100:I101)</f>
        <v>28063250</v>
      </c>
      <c r="J102" s="96"/>
      <c r="K102" s="95">
        <f>SUM(K100:K101)</f>
        <v>7646209</v>
      </c>
      <c r="L102" s="96"/>
      <c r="M102" s="95">
        <f>SUM(M100:M101)</f>
        <v>6858912</v>
      </c>
    </row>
    <row r="103" spans="1:13" ht="21">
      <c r="A103" s="77" t="s">
        <v>141</v>
      </c>
      <c r="E103" s="87"/>
      <c r="G103" s="72"/>
      <c r="H103" s="72"/>
      <c r="I103" s="72"/>
      <c r="J103" s="72"/>
      <c r="K103" s="72"/>
      <c r="L103" s="72"/>
      <c r="M103" s="72"/>
    </row>
    <row r="104" spans="1:13" ht="21">
      <c r="A104" s="77" t="s">
        <v>276</v>
      </c>
      <c r="E104" s="87"/>
      <c r="G104" s="89">
        <f>G98-G102</f>
        <v>5981221</v>
      </c>
      <c r="H104" s="96"/>
      <c r="I104" s="89">
        <f>I98-I102</f>
        <v>7708083</v>
      </c>
      <c r="J104" s="96"/>
      <c r="K104" s="89">
        <f>K98-K102</f>
        <v>3179507</v>
      </c>
      <c r="L104" s="96"/>
      <c r="M104" s="89">
        <f>M98-M102</f>
        <v>2085979</v>
      </c>
    </row>
    <row r="105" spans="1:13" s="107" customFormat="1" ht="21">
      <c r="A105" s="107" t="s">
        <v>116</v>
      </c>
      <c r="E105" s="127">
        <v>7</v>
      </c>
      <c r="F105" s="80"/>
      <c r="G105" s="143">
        <v>804995</v>
      </c>
      <c r="H105" s="89"/>
      <c r="I105" s="94">
        <v>842934</v>
      </c>
      <c r="J105" s="89"/>
      <c r="K105" s="143">
        <v>0</v>
      </c>
      <c r="L105" s="89"/>
      <c r="M105" s="143">
        <v>0</v>
      </c>
    </row>
    <row r="106" spans="1:13" s="107" customFormat="1" ht="21">
      <c r="A106" s="77" t="s">
        <v>277</v>
      </c>
      <c r="E106" s="117"/>
      <c r="F106" s="80"/>
      <c r="G106" s="89">
        <f>SUM(G104:G105)</f>
        <v>6786216</v>
      </c>
      <c r="H106" s="89"/>
      <c r="I106" s="89">
        <f>SUM(I104:I105)</f>
        <v>8551017</v>
      </c>
      <c r="J106" s="89"/>
      <c r="K106" s="89">
        <f>SUM(K104:K105)</f>
        <v>3179507</v>
      </c>
      <c r="L106" s="89"/>
      <c r="M106" s="89">
        <f>SUM(M104:M105)</f>
        <v>2085979</v>
      </c>
    </row>
    <row r="107" spans="1:13" ht="21">
      <c r="A107" s="72" t="s">
        <v>123</v>
      </c>
      <c r="E107" s="87">
        <v>6</v>
      </c>
      <c r="G107" s="94">
        <v>-705444</v>
      </c>
      <c r="H107" s="89"/>
      <c r="I107" s="94">
        <v>-633672</v>
      </c>
      <c r="J107" s="89"/>
      <c r="K107" s="94">
        <v>-740596</v>
      </c>
      <c r="L107" s="89"/>
      <c r="M107" s="94">
        <v>-576131</v>
      </c>
    </row>
    <row r="108" spans="1:13" ht="21">
      <c r="A108" s="77" t="s">
        <v>278</v>
      </c>
      <c r="E108" s="87"/>
      <c r="G108" s="96">
        <f>SUM(G106:G107)</f>
        <v>6080772</v>
      </c>
      <c r="H108" s="96"/>
      <c r="I108" s="96">
        <f>SUM(I106:I107)</f>
        <v>7917345</v>
      </c>
      <c r="J108" s="96"/>
      <c r="K108" s="96">
        <f>SUM(K106:K107)</f>
        <v>2438911</v>
      </c>
      <c r="L108" s="96"/>
      <c r="M108" s="96">
        <f>SUM(M106:M107)</f>
        <v>1509848</v>
      </c>
    </row>
    <row r="109" spans="1:13" ht="21">
      <c r="A109" s="72" t="s">
        <v>279</v>
      </c>
      <c r="E109" s="87">
        <v>16</v>
      </c>
      <c r="G109" s="96">
        <v>-1024761</v>
      </c>
      <c r="H109" s="96"/>
      <c r="I109" s="96">
        <v>-1212328</v>
      </c>
      <c r="J109" s="96"/>
      <c r="K109" s="96">
        <v>-98451</v>
      </c>
      <c r="L109" s="96"/>
      <c r="M109" s="96">
        <v>-123534</v>
      </c>
    </row>
    <row r="110" spans="1:13" ht="21.75" thickBot="1">
      <c r="A110" s="77" t="s">
        <v>263</v>
      </c>
      <c r="E110" s="87"/>
      <c r="G110" s="100">
        <f>SUM(G108:G109)</f>
        <v>5056011</v>
      </c>
      <c r="H110" s="89"/>
      <c r="I110" s="100">
        <f>SUM(I108:I109)</f>
        <v>6705017</v>
      </c>
      <c r="J110" s="89"/>
      <c r="K110" s="100">
        <f>SUM(K108:K109)</f>
        <v>2340460</v>
      </c>
      <c r="L110" s="89"/>
      <c r="M110" s="100">
        <f>SUM(M108:M109)</f>
        <v>1386314</v>
      </c>
    </row>
    <row r="111" spans="5:13" ht="4.5" customHeight="1" thickTop="1">
      <c r="E111" s="87"/>
      <c r="G111" s="85"/>
      <c r="H111" s="85"/>
      <c r="I111" s="85"/>
      <c r="J111" s="85"/>
      <c r="K111" s="85"/>
      <c r="L111" s="85"/>
      <c r="M111" s="85"/>
    </row>
    <row r="112" spans="1:13" ht="21">
      <c r="A112" s="77" t="s">
        <v>193</v>
      </c>
      <c r="G112" s="96"/>
      <c r="H112" s="96"/>
      <c r="I112" s="96"/>
      <c r="J112" s="96"/>
      <c r="K112" s="96"/>
      <c r="L112" s="89"/>
      <c r="M112" s="89"/>
    </row>
    <row r="113" spans="1:13" ht="21.75" thickBot="1">
      <c r="A113" s="72" t="s">
        <v>186</v>
      </c>
      <c r="G113" s="89">
        <f>+G110-G114</f>
        <v>4844409</v>
      </c>
      <c r="H113" s="89"/>
      <c r="I113" s="89">
        <f>I110-I114</f>
        <v>6460055</v>
      </c>
      <c r="J113" s="96"/>
      <c r="K113" s="105">
        <f>K110</f>
        <v>2340460</v>
      </c>
      <c r="L113" s="96"/>
      <c r="M113" s="105">
        <f>M110</f>
        <v>1386314</v>
      </c>
    </row>
    <row r="114" spans="1:13" ht="21.75" thickTop="1">
      <c r="A114" s="72" t="s">
        <v>161</v>
      </c>
      <c r="G114" s="94">
        <v>211602</v>
      </c>
      <c r="H114" s="89"/>
      <c r="I114" s="94">
        <v>244962</v>
      </c>
      <c r="J114" s="96"/>
      <c r="K114" s="186"/>
      <c r="L114" s="96"/>
      <c r="M114" s="96"/>
    </row>
    <row r="115" spans="7:13" ht="21.75" thickBot="1">
      <c r="G115" s="151">
        <f>SUM(G113:G114)</f>
        <v>5056011</v>
      </c>
      <c r="H115" s="89"/>
      <c r="I115" s="151">
        <f>SUM(I113:I114)</f>
        <v>6705017</v>
      </c>
      <c r="J115" s="96"/>
      <c r="K115" s="152"/>
      <c r="L115" s="96"/>
      <c r="M115" s="96"/>
    </row>
    <row r="116" spans="7:13" ht="4.5" customHeight="1" thickTop="1">
      <c r="G116" s="152"/>
      <c r="H116" s="89"/>
      <c r="I116" s="152"/>
      <c r="J116" s="96"/>
      <c r="K116" s="152"/>
      <c r="L116" s="96"/>
      <c r="M116" s="96"/>
    </row>
    <row r="117" spans="1:7" ht="21">
      <c r="A117" s="77" t="s">
        <v>203</v>
      </c>
      <c r="B117" s="77"/>
      <c r="E117" s="92"/>
      <c r="G117" s="78"/>
    </row>
    <row r="118" spans="1:13" ht="21.75" thickBot="1">
      <c r="A118" s="72" t="s">
        <v>194</v>
      </c>
      <c r="E118" s="87"/>
      <c r="G118" s="153">
        <f>G113*1000/G120</f>
        <v>3.1346087904947515</v>
      </c>
      <c r="H118" s="154"/>
      <c r="I118" s="153">
        <f>I113*1000/I120</f>
        <v>4.180023856383632</v>
      </c>
      <c r="J118" s="154"/>
      <c r="K118" s="153">
        <f>K113*1000/K120</f>
        <v>1.5144110437003455</v>
      </c>
      <c r="L118" s="154"/>
      <c r="M118" s="153">
        <f>M113*1000/M120</f>
        <v>0.8970241882520533</v>
      </c>
    </row>
    <row r="119" spans="5:13" ht="4.5" customHeight="1" thickTop="1">
      <c r="E119" s="87"/>
      <c r="G119" s="85"/>
      <c r="H119" s="85"/>
      <c r="I119" s="85"/>
      <c r="J119" s="85"/>
      <c r="K119" s="85"/>
      <c r="L119" s="85"/>
      <c r="M119" s="85"/>
    </row>
    <row r="120" spans="1:14" s="107" customFormat="1" ht="21.75" customHeight="1" thickBot="1">
      <c r="A120" s="107" t="s">
        <v>39</v>
      </c>
      <c r="E120" s="87"/>
      <c r="F120" s="80"/>
      <c r="G120" s="105">
        <v>1545458883</v>
      </c>
      <c r="H120" s="89"/>
      <c r="I120" s="105">
        <v>1545458883</v>
      </c>
      <c r="J120" s="89"/>
      <c r="K120" s="105">
        <v>1545458883</v>
      </c>
      <c r="L120" s="89"/>
      <c r="M120" s="105">
        <v>1545458883</v>
      </c>
      <c r="N120" s="72"/>
    </row>
    <row r="121" spans="5:14" s="107" customFormat="1" ht="12" customHeight="1" thickTop="1">
      <c r="E121" s="87"/>
      <c r="F121" s="80"/>
      <c r="G121" s="89"/>
      <c r="H121" s="89"/>
      <c r="I121" s="89"/>
      <c r="J121" s="89"/>
      <c r="K121" s="89"/>
      <c r="L121" s="89"/>
      <c r="M121" s="89"/>
      <c r="N121" s="72"/>
    </row>
    <row r="122" spans="1:13" s="160" customFormat="1" ht="23.25">
      <c r="A122" s="72" t="s">
        <v>40</v>
      </c>
      <c r="B122" s="158"/>
      <c r="C122" s="158"/>
      <c r="D122" s="158"/>
      <c r="E122" s="161"/>
      <c r="F122" s="162"/>
      <c r="G122" s="165"/>
      <c r="H122" s="165"/>
      <c r="I122" s="165"/>
      <c r="J122" s="165"/>
      <c r="K122" s="165"/>
      <c r="L122" s="165"/>
      <c r="M122" s="157" t="s">
        <v>293</v>
      </c>
    </row>
    <row r="123" spans="1:13" ht="2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172" t="s">
        <v>283</v>
      </c>
    </row>
    <row r="124" spans="1:13" ht="21">
      <c r="A124" s="71" t="s">
        <v>41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</row>
    <row r="125" spans="1:13" ht="21">
      <c r="A125" s="71" t="s">
        <v>162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</row>
    <row r="126" spans="1:13" ht="21">
      <c r="A126" s="71" t="s">
        <v>307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</row>
    <row r="127" spans="3:13" ht="21">
      <c r="C127" s="75"/>
      <c r="D127" s="75"/>
      <c r="E127" s="75"/>
      <c r="H127" s="75"/>
      <c r="I127" s="75"/>
      <c r="J127" s="75"/>
      <c r="M127" s="112" t="s">
        <v>255</v>
      </c>
    </row>
    <row r="128" spans="7:14" s="77" customFormat="1" ht="21">
      <c r="G128" s="191" t="s">
        <v>33</v>
      </c>
      <c r="H128" s="191"/>
      <c r="I128" s="191"/>
      <c r="J128" s="191"/>
      <c r="K128" s="191" t="s">
        <v>107</v>
      </c>
      <c r="L128" s="191"/>
      <c r="M128" s="191"/>
      <c r="N128" s="191"/>
    </row>
    <row r="129" spans="5:13" ht="21">
      <c r="E129" s="79" t="s">
        <v>26</v>
      </c>
      <c r="F129" s="72"/>
      <c r="G129" s="115">
        <v>2556</v>
      </c>
      <c r="H129" s="102"/>
      <c r="I129" s="115">
        <v>2555</v>
      </c>
      <c r="J129" s="81"/>
      <c r="K129" s="115">
        <v>2556</v>
      </c>
      <c r="L129" s="102"/>
      <c r="M129" s="115">
        <v>2555</v>
      </c>
    </row>
    <row r="130" spans="5:13" ht="21">
      <c r="E130" s="79"/>
      <c r="F130" s="72"/>
      <c r="G130" s="102"/>
      <c r="H130" s="102"/>
      <c r="I130" s="80" t="s">
        <v>266</v>
      </c>
      <c r="J130" s="81"/>
      <c r="K130" s="102"/>
      <c r="L130" s="102"/>
      <c r="M130" s="80" t="s">
        <v>266</v>
      </c>
    </row>
    <row r="131" spans="5:13" ht="21">
      <c r="E131" s="79"/>
      <c r="F131" s="72"/>
      <c r="G131" s="102"/>
      <c r="H131" s="102"/>
      <c r="I131" s="80"/>
      <c r="J131" s="81"/>
      <c r="K131" s="102"/>
      <c r="L131" s="102"/>
      <c r="M131" s="80"/>
    </row>
    <row r="132" spans="1:13" s="78" customFormat="1" ht="21">
      <c r="A132" s="118" t="s">
        <v>263</v>
      </c>
      <c r="C132" s="119"/>
      <c r="D132" s="120"/>
      <c r="E132" s="121"/>
      <c r="F132" s="122"/>
      <c r="G132" s="135">
        <f>G110</f>
        <v>5056011</v>
      </c>
      <c r="H132" s="123"/>
      <c r="I132" s="135">
        <f>I110</f>
        <v>6705017</v>
      </c>
      <c r="J132" s="124"/>
      <c r="K132" s="135">
        <f>K110</f>
        <v>2340460</v>
      </c>
      <c r="M132" s="135">
        <f>M110</f>
        <v>1386314</v>
      </c>
    </row>
    <row r="133" spans="1:13" s="78" customFormat="1" ht="21">
      <c r="A133" s="118"/>
      <c r="C133" s="119"/>
      <c r="D133" s="120"/>
      <c r="E133" s="121"/>
      <c r="F133" s="122"/>
      <c r="G133" s="125"/>
      <c r="H133" s="123"/>
      <c r="I133" s="125"/>
      <c r="J133" s="124"/>
      <c r="K133" s="125"/>
      <c r="M133" s="125"/>
    </row>
    <row r="134" spans="1:13" s="78" customFormat="1" ht="21">
      <c r="A134" s="118" t="s">
        <v>163</v>
      </c>
      <c r="C134" s="119"/>
      <c r="D134" s="120"/>
      <c r="E134" s="121"/>
      <c r="F134" s="122"/>
      <c r="G134" s="125"/>
      <c r="H134" s="123"/>
      <c r="I134" s="125"/>
      <c r="J134" s="124"/>
      <c r="K134" s="125"/>
      <c r="M134" s="125"/>
    </row>
    <row r="135" spans="1:13" s="78" customFormat="1" ht="21">
      <c r="A135" s="126" t="s">
        <v>319</v>
      </c>
      <c r="C135" s="119"/>
      <c r="D135" s="120"/>
      <c r="E135" s="121"/>
      <c r="F135" s="122"/>
      <c r="G135" s="125">
        <v>-19470</v>
      </c>
      <c r="H135" s="123"/>
      <c r="I135" s="125">
        <v>17546</v>
      </c>
      <c r="J135" s="124"/>
      <c r="K135" s="125">
        <f>'CE'!T115-K138</f>
        <v>-19627</v>
      </c>
      <c r="M135" s="125">
        <v>17348</v>
      </c>
    </row>
    <row r="136" spans="1:13" s="78" customFormat="1" ht="21">
      <c r="A136" s="126" t="s">
        <v>249</v>
      </c>
      <c r="C136" s="119"/>
      <c r="D136" s="120"/>
      <c r="E136" s="121"/>
      <c r="F136" s="122"/>
      <c r="G136" s="125"/>
      <c r="H136" s="123"/>
      <c r="I136" s="125"/>
      <c r="J136" s="124"/>
      <c r="K136" s="125"/>
      <c r="M136" s="125"/>
    </row>
    <row r="137" spans="1:13" s="78" customFormat="1" ht="21">
      <c r="A137" s="126" t="s">
        <v>250</v>
      </c>
      <c r="C137" s="119"/>
      <c r="D137" s="120"/>
      <c r="E137" s="121"/>
      <c r="F137" s="122"/>
      <c r="G137" s="125"/>
      <c r="H137" s="123"/>
      <c r="I137" s="125"/>
      <c r="J137" s="124"/>
      <c r="K137" s="125"/>
      <c r="M137" s="125"/>
    </row>
    <row r="138" spans="1:13" s="78" customFormat="1" ht="21">
      <c r="A138" s="126" t="s">
        <v>251</v>
      </c>
      <c r="C138" s="119"/>
      <c r="D138" s="120"/>
      <c r="E138" s="90">
        <v>7</v>
      </c>
      <c r="F138" s="122"/>
      <c r="G138" s="125">
        <v>0</v>
      </c>
      <c r="H138" s="123"/>
      <c r="I138" s="125">
        <f>-1372148+274284</f>
        <v>-1097864</v>
      </c>
      <c r="J138" s="124"/>
      <c r="K138" s="125">
        <v>0</v>
      </c>
      <c r="M138" s="125">
        <f>-1372148+274284</f>
        <v>-1097864</v>
      </c>
    </row>
    <row r="139" spans="1:13" s="78" customFormat="1" ht="21">
      <c r="A139" s="78" t="s">
        <v>273</v>
      </c>
      <c r="C139" s="119"/>
      <c r="D139" s="120"/>
      <c r="E139" s="97"/>
      <c r="F139" s="122"/>
      <c r="G139" s="125"/>
      <c r="H139" s="123"/>
      <c r="I139" s="125"/>
      <c r="J139" s="124"/>
      <c r="K139" s="125"/>
      <c r="M139" s="125"/>
    </row>
    <row r="140" spans="1:13" s="78" customFormat="1" ht="21">
      <c r="A140" s="78" t="s">
        <v>253</v>
      </c>
      <c r="E140" s="87"/>
      <c r="G140" s="125">
        <v>11048</v>
      </c>
      <c r="I140" s="125">
        <v>0</v>
      </c>
      <c r="K140" s="125">
        <v>0</v>
      </c>
      <c r="M140" s="125">
        <v>0</v>
      </c>
    </row>
    <row r="141" spans="1:13" s="78" customFormat="1" ht="21">
      <c r="A141" s="126" t="s">
        <v>233</v>
      </c>
      <c r="C141" s="119"/>
      <c r="D141" s="120"/>
      <c r="E141" s="121"/>
      <c r="F141" s="122"/>
      <c r="G141" s="125"/>
      <c r="H141" s="123"/>
      <c r="I141" s="125"/>
      <c r="J141" s="124"/>
      <c r="K141" s="125"/>
      <c r="M141" s="125"/>
    </row>
    <row r="142" spans="1:13" s="78" customFormat="1" ht="21">
      <c r="A142" s="126" t="s">
        <v>234</v>
      </c>
      <c r="C142" s="119"/>
      <c r="D142" s="120"/>
      <c r="E142" s="87"/>
      <c r="F142" s="122"/>
      <c r="G142" s="125">
        <v>24215</v>
      </c>
      <c r="H142" s="123"/>
      <c r="I142" s="125">
        <v>-27919</v>
      </c>
      <c r="J142" s="124"/>
      <c r="K142" s="125">
        <v>0</v>
      </c>
      <c r="M142" s="125">
        <v>0</v>
      </c>
    </row>
    <row r="143" spans="1:13" s="78" customFormat="1" ht="21">
      <c r="A143" s="126" t="s">
        <v>312</v>
      </c>
      <c r="C143" s="119"/>
      <c r="D143" s="120"/>
      <c r="E143" s="87"/>
      <c r="F143" s="122"/>
      <c r="G143" s="125">
        <f>'CE'!P64</f>
        <v>-30498</v>
      </c>
      <c r="H143" s="123"/>
      <c r="I143" s="125">
        <v>0</v>
      </c>
      <c r="J143" s="124"/>
      <c r="K143" s="125">
        <f>'CE'!V115</f>
        <v>-38940</v>
      </c>
      <c r="M143" s="125">
        <v>0</v>
      </c>
    </row>
    <row r="144" spans="1:13" s="78" customFormat="1" ht="21">
      <c r="A144" s="126" t="s">
        <v>329</v>
      </c>
      <c r="C144" s="119"/>
      <c r="D144" s="120"/>
      <c r="E144" s="87"/>
      <c r="F144" s="122"/>
      <c r="G144" s="125">
        <v>0</v>
      </c>
      <c r="H144" s="123"/>
      <c r="I144" s="125">
        <v>0</v>
      </c>
      <c r="J144" s="124"/>
      <c r="K144" s="125">
        <f>'CE'!R115</f>
        <v>13671</v>
      </c>
      <c r="M144" s="125">
        <v>0</v>
      </c>
    </row>
    <row r="145" spans="1:13" s="78" customFormat="1" ht="21">
      <c r="A145" s="126" t="s">
        <v>178</v>
      </c>
      <c r="C145" s="119"/>
      <c r="D145" s="120"/>
      <c r="E145" s="121"/>
      <c r="F145" s="122"/>
      <c r="G145" s="125">
        <v>-26850</v>
      </c>
      <c r="H145" s="123"/>
      <c r="I145" s="125">
        <v>122116</v>
      </c>
      <c r="J145" s="124"/>
      <c r="K145" s="125">
        <v>0</v>
      </c>
      <c r="M145" s="125">
        <v>0</v>
      </c>
    </row>
    <row r="146" spans="1:13" s="78" customFormat="1" ht="21">
      <c r="A146" s="118" t="s">
        <v>264</v>
      </c>
      <c r="C146" s="119"/>
      <c r="D146" s="120"/>
      <c r="E146" s="121"/>
      <c r="F146" s="122"/>
      <c r="G146" s="136">
        <f>SUM(G135:G145)</f>
        <v>-41555</v>
      </c>
      <c r="H146" s="123"/>
      <c r="I146" s="136">
        <f>SUM(I135:I145)</f>
        <v>-986121</v>
      </c>
      <c r="J146" s="124"/>
      <c r="K146" s="136">
        <f>SUM(K135:K145)</f>
        <v>-44896</v>
      </c>
      <c r="M146" s="136">
        <f>SUM(M135:M145)</f>
        <v>-1080516</v>
      </c>
    </row>
    <row r="147" spans="1:13" s="78" customFormat="1" ht="21">
      <c r="A147" s="118"/>
      <c r="C147" s="119"/>
      <c r="D147" s="120"/>
      <c r="E147" s="121"/>
      <c r="F147" s="122"/>
      <c r="G147" s="125"/>
      <c r="H147" s="123"/>
      <c r="I147" s="125"/>
      <c r="J147" s="124"/>
      <c r="K147" s="125"/>
      <c r="M147" s="125"/>
    </row>
    <row r="148" spans="1:13" s="78" customFormat="1" ht="21.75" thickBot="1">
      <c r="A148" s="118" t="s">
        <v>265</v>
      </c>
      <c r="C148" s="119"/>
      <c r="D148" s="120"/>
      <c r="E148" s="121"/>
      <c r="F148" s="122"/>
      <c r="G148" s="137">
        <f>G132+G146</f>
        <v>5014456</v>
      </c>
      <c r="H148" s="123"/>
      <c r="I148" s="137">
        <f>I132+I146</f>
        <v>5718896</v>
      </c>
      <c r="J148" s="124"/>
      <c r="K148" s="137">
        <f>K132+K146</f>
        <v>2295564</v>
      </c>
      <c r="M148" s="137">
        <f>M132+M146</f>
        <v>305798</v>
      </c>
    </row>
    <row r="149" spans="1:13" s="78" customFormat="1" ht="21.75" thickTop="1">
      <c r="A149" s="118"/>
      <c r="C149" s="119"/>
      <c r="D149" s="120"/>
      <c r="E149" s="121"/>
      <c r="F149" s="122"/>
      <c r="G149" s="125"/>
      <c r="H149" s="123"/>
      <c r="I149" s="125"/>
      <c r="J149" s="124"/>
      <c r="K149" s="125"/>
      <c r="M149" s="125"/>
    </row>
    <row r="150" spans="1:13" s="78" customFormat="1" ht="21">
      <c r="A150" s="118" t="s">
        <v>164</v>
      </c>
      <c r="C150" s="119"/>
      <c r="D150" s="120"/>
      <c r="E150" s="121"/>
      <c r="F150" s="122"/>
      <c r="G150" s="125"/>
      <c r="H150" s="123"/>
      <c r="I150" s="125"/>
      <c r="J150" s="124"/>
      <c r="K150" s="125"/>
      <c r="M150" s="125"/>
    </row>
    <row r="151" spans="1:13" s="78" customFormat="1" ht="21.75" thickBot="1">
      <c r="A151" s="128" t="str">
        <f>A113</f>
        <v>ส่วนที่เป็นของผู้ถือหุ้นของบริษัทฯ</v>
      </c>
      <c r="C151" s="119"/>
      <c r="D151" s="120"/>
      <c r="E151" s="121"/>
      <c r="F151" s="122"/>
      <c r="G151" s="125">
        <f>G153-G152</f>
        <v>4805628</v>
      </c>
      <c r="H151" s="123"/>
      <c r="I151" s="125">
        <f>I153-I152</f>
        <v>5474510</v>
      </c>
      <c r="J151" s="124"/>
      <c r="K151" s="105">
        <f>K148</f>
        <v>2295564</v>
      </c>
      <c r="L151" s="96"/>
      <c r="M151" s="105">
        <f>M148</f>
        <v>305798</v>
      </c>
    </row>
    <row r="152" spans="1:13" s="78" customFormat="1" ht="21.75" thickTop="1">
      <c r="A152" s="128" t="str">
        <f>A114</f>
        <v>ส่วนที่เป็นของผู้มีส่วนได้เสียที่ไม่มีอำนาจควบคุมของบริษัทย่อย</v>
      </c>
      <c r="C152" s="119"/>
      <c r="D152" s="120"/>
      <c r="E152" s="121"/>
      <c r="F152" s="122"/>
      <c r="G152" s="135">
        <v>208828</v>
      </c>
      <c r="H152" s="123"/>
      <c r="I152" s="135">
        <v>244386</v>
      </c>
      <c r="J152" s="124"/>
      <c r="K152" s="96"/>
      <c r="L152" s="96"/>
      <c r="M152" s="96"/>
    </row>
    <row r="153" spans="1:13" s="78" customFormat="1" ht="21.75" thickBot="1">
      <c r="A153" s="118"/>
      <c r="C153" s="119"/>
      <c r="D153" s="120"/>
      <c r="E153" s="121"/>
      <c r="F153" s="122"/>
      <c r="G153" s="138">
        <f>G148</f>
        <v>5014456</v>
      </c>
      <c r="H153" s="123"/>
      <c r="I153" s="138">
        <f>I148</f>
        <v>5718896</v>
      </c>
      <c r="J153" s="124"/>
      <c r="K153" s="96"/>
      <c r="L153" s="96"/>
      <c r="M153" s="96"/>
    </row>
    <row r="154" spans="1:13" s="78" customFormat="1" ht="21.75" thickTop="1">
      <c r="A154" s="118"/>
      <c r="C154" s="119"/>
      <c r="D154" s="120"/>
      <c r="E154" s="121"/>
      <c r="F154" s="122"/>
      <c r="G154" s="125"/>
      <c r="H154" s="123"/>
      <c r="I154" s="125"/>
      <c r="J154" s="124"/>
      <c r="K154" s="125"/>
      <c r="M154" s="125"/>
    </row>
    <row r="155" spans="1:13" ht="21">
      <c r="A155" s="72" t="s">
        <v>40</v>
      </c>
      <c r="E155" s="79"/>
      <c r="F155" s="72"/>
      <c r="G155" s="185"/>
      <c r="H155" s="102"/>
      <c r="I155" s="74"/>
      <c r="J155" s="81"/>
      <c r="K155" s="102"/>
      <c r="L155" s="102"/>
      <c r="M155" s="74"/>
    </row>
    <row r="156" spans="5:13" ht="21">
      <c r="E156" s="79"/>
      <c r="F156" s="72"/>
      <c r="G156" s="102"/>
      <c r="H156" s="102"/>
      <c r="I156" s="74"/>
      <c r="J156" s="81"/>
      <c r="K156" s="102"/>
      <c r="L156" s="102"/>
      <c r="M156" s="74"/>
    </row>
    <row r="157" spans="5:13" ht="21">
      <c r="E157" s="79"/>
      <c r="F157" s="72"/>
      <c r="G157" s="102"/>
      <c r="H157" s="102"/>
      <c r="I157" s="74"/>
      <c r="J157" s="81"/>
      <c r="K157" s="102"/>
      <c r="L157" s="102"/>
      <c r="M157" s="74"/>
    </row>
    <row r="158" spans="5:13" ht="21">
      <c r="E158" s="79"/>
      <c r="F158" s="72"/>
      <c r="G158" s="102"/>
      <c r="H158" s="102"/>
      <c r="I158" s="74"/>
      <c r="J158" s="81"/>
      <c r="K158" s="102"/>
      <c r="L158" s="102"/>
      <c r="M158" s="74"/>
    </row>
    <row r="159" spans="5:13" ht="21">
      <c r="E159" s="79"/>
      <c r="F159" s="72"/>
      <c r="G159" s="102"/>
      <c r="H159" s="102"/>
      <c r="I159" s="74"/>
      <c r="J159" s="81"/>
      <c r="K159" s="102"/>
      <c r="L159" s="102"/>
      <c r="M159" s="74"/>
    </row>
    <row r="160" spans="5:13" ht="21">
      <c r="E160" s="79"/>
      <c r="F160" s="72"/>
      <c r="G160" s="102"/>
      <c r="H160" s="102"/>
      <c r="I160" s="74"/>
      <c r="J160" s="81"/>
      <c r="K160" s="102"/>
      <c r="L160" s="102"/>
      <c r="M160" s="74"/>
    </row>
    <row r="161" spans="1:13" s="160" customFormat="1" ht="23.25">
      <c r="A161" s="157"/>
      <c r="B161" s="157"/>
      <c r="C161" s="157"/>
      <c r="D161" s="158"/>
      <c r="E161" s="157"/>
      <c r="F161" s="157"/>
      <c r="G161" s="157"/>
      <c r="H161" s="157"/>
      <c r="I161" s="157"/>
      <c r="J161" s="157"/>
      <c r="K161" s="157"/>
      <c r="L161" s="157"/>
      <c r="M161" s="157" t="s">
        <v>294</v>
      </c>
    </row>
    <row r="162" spans="2:13" ht="21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172" t="s">
        <v>283</v>
      </c>
    </row>
    <row r="163" spans="1:13" ht="21">
      <c r="A163" s="71" t="s">
        <v>41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</row>
    <row r="164" spans="1:13" ht="21">
      <c r="A164" s="71" t="s">
        <v>29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</row>
    <row r="165" spans="1:13" ht="21">
      <c r="A165" s="71" t="s">
        <v>307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</row>
    <row r="166" spans="3:13" ht="21">
      <c r="C166" s="113"/>
      <c r="D166" s="113"/>
      <c r="E166" s="113"/>
      <c r="F166" s="114"/>
      <c r="G166" s="113"/>
      <c r="H166" s="113"/>
      <c r="I166" s="113"/>
      <c r="J166" s="113"/>
      <c r="M166" s="112" t="s">
        <v>255</v>
      </c>
    </row>
    <row r="167" spans="7:14" s="77" customFormat="1" ht="21">
      <c r="G167" s="191" t="s">
        <v>33</v>
      </c>
      <c r="H167" s="191"/>
      <c r="I167" s="191"/>
      <c r="J167" s="191"/>
      <c r="K167" s="191" t="s">
        <v>107</v>
      </c>
      <c r="L167" s="191"/>
      <c r="M167" s="191"/>
      <c r="N167" s="191"/>
    </row>
    <row r="168" spans="5:13" ht="21">
      <c r="E168" s="79"/>
      <c r="F168" s="72"/>
      <c r="G168" s="115">
        <v>2556</v>
      </c>
      <c r="H168" s="102"/>
      <c r="I168" s="115">
        <v>2555</v>
      </c>
      <c r="J168" s="81"/>
      <c r="K168" s="115">
        <v>2556</v>
      </c>
      <c r="L168" s="102"/>
      <c r="M168" s="115">
        <v>2555</v>
      </c>
    </row>
    <row r="169" spans="5:13" ht="21">
      <c r="E169" s="79"/>
      <c r="F169" s="72"/>
      <c r="G169" s="102"/>
      <c r="H169" s="102"/>
      <c r="I169" s="102" t="s">
        <v>266</v>
      </c>
      <c r="J169" s="81"/>
      <c r="K169" s="102"/>
      <c r="L169" s="102"/>
      <c r="M169" s="102" t="s">
        <v>266</v>
      </c>
    </row>
    <row r="170" spans="1:13" ht="21">
      <c r="A170" s="77" t="s">
        <v>15</v>
      </c>
      <c r="E170" s="80"/>
      <c r="F170" s="80"/>
      <c r="G170" s="82"/>
      <c r="I170" s="82"/>
      <c r="K170" s="82"/>
      <c r="L170" s="75"/>
      <c r="M170" s="82"/>
    </row>
    <row r="171" spans="1:13" ht="21">
      <c r="A171" s="72" t="s">
        <v>278</v>
      </c>
      <c r="G171" s="96">
        <f>G108</f>
        <v>6080772</v>
      </c>
      <c r="H171" s="96"/>
      <c r="I171" s="96">
        <f>I108</f>
        <v>7917345</v>
      </c>
      <c r="J171" s="96"/>
      <c r="K171" s="96">
        <f>K108</f>
        <v>2438911</v>
      </c>
      <c r="L171" s="96"/>
      <c r="M171" s="96">
        <f>M108</f>
        <v>1509848</v>
      </c>
    </row>
    <row r="172" spans="1:14" ht="21">
      <c r="A172" s="72" t="s">
        <v>289</v>
      </c>
      <c r="G172" s="96"/>
      <c r="H172" s="96"/>
      <c r="I172" s="96"/>
      <c r="J172" s="96"/>
      <c r="K172" s="155"/>
      <c r="L172" s="96"/>
      <c r="M172" s="155"/>
      <c r="N172" s="77"/>
    </row>
    <row r="173" spans="2:13" ht="21">
      <c r="B173" s="72" t="s">
        <v>31</v>
      </c>
      <c r="G173" s="96"/>
      <c r="H173" s="96"/>
      <c r="I173" s="96"/>
      <c r="J173" s="96"/>
      <c r="K173" s="155"/>
      <c r="L173" s="96"/>
      <c r="M173" s="155"/>
    </row>
    <row r="174" spans="2:13" ht="21">
      <c r="B174" s="107" t="s">
        <v>134</v>
      </c>
      <c r="D174" s="107"/>
      <c r="E174" s="72"/>
      <c r="F174" s="72"/>
      <c r="G174" s="96">
        <v>2373590</v>
      </c>
      <c r="H174" s="96"/>
      <c r="I174" s="96">
        <v>2185445</v>
      </c>
      <c r="J174" s="96"/>
      <c r="K174" s="96">
        <v>500951</v>
      </c>
      <c r="L174" s="96"/>
      <c r="M174" s="72">
        <v>499375</v>
      </c>
    </row>
    <row r="175" spans="2:13" ht="21">
      <c r="B175" s="107" t="s">
        <v>136</v>
      </c>
      <c r="D175" s="107"/>
      <c r="E175" s="72"/>
      <c r="F175" s="72"/>
      <c r="G175" s="96">
        <v>26815</v>
      </c>
      <c r="H175" s="96"/>
      <c r="I175" s="96">
        <v>13333</v>
      </c>
      <c r="J175" s="96"/>
      <c r="K175" s="96">
        <v>61</v>
      </c>
      <c r="L175" s="96"/>
      <c r="M175" s="72">
        <v>96</v>
      </c>
    </row>
    <row r="176" spans="2:13" ht="21">
      <c r="B176" s="107" t="s">
        <v>32</v>
      </c>
      <c r="D176" s="107"/>
      <c r="E176" s="72"/>
      <c r="F176" s="72"/>
      <c r="G176" s="96">
        <v>207134</v>
      </c>
      <c r="H176" s="96"/>
      <c r="I176" s="96">
        <v>71410</v>
      </c>
      <c r="J176" s="96"/>
      <c r="K176" s="96">
        <v>110596</v>
      </c>
      <c r="L176" s="96"/>
      <c r="M176" s="72">
        <v>3556</v>
      </c>
    </row>
    <row r="177" spans="2:13" ht="21">
      <c r="B177" s="107" t="s">
        <v>282</v>
      </c>
      <c r="D177" s="107"/>
      <c r="E177" s="72"/>
      <c r="F177" s="72"/>
      <c r="G177" s="96">
        <v>393</v>
      </c>
      <c r="H177" s="96"/>
      <c r="I177" s="96">
        <v>0</v>
      </c>
      <c r="J177" s="96"/>
      <c r="K177" s="96">
        <v>0</v>
      </c>
      <c r="L177" s="96"/>
      <c r="M177" s="96">
        <v>0</v>
      </c>
    </row>
    <row r="178" spans="2:13" ht="21">
      <c r="B178" s="107" t="s">
        <v>313</v>
      </c>
      <c r="D178" s="107"/>
      <c r="E178" s="72"/>
      <c r="F178" s="72"/>
      <c r="G178" s="89">
        <v>-2620</v>
      </c>
      <c r="H178" s="89"/>
      <c r="I178" s="89">
        <v>0</v>
      </c>
      <c r="J178" s="89"/>
      <c r="K178" s="96">
        <v>95</v>
      </c>
      <c r="L178" s="89"/>
      <c r="M178" s="89">
        <v>0</v>
      </c>
    </row>
    <row r="179" spans="2:13" ht="21">
      <c r="B179" s="107" t="s">
        <v>52</v>
      </c>
      <c r="D179" s="107"/>
      <c r="E179" s="72"/>
      <c r="F179" s="72"/>
      <c r="G179" s="96">
        <v>-26506</v>
      </c>
      <c r="H179" s="96"/>
      <c r="I179" s="96">
        <v>-32167</v>
      </c>
      <c r="J179" s="96"/>
      <c r="K179" s="96">
        <v>-20298</v>
      </c>
      <c r="L179" s="96"/>
      <c r="M179" s="72">
        <v>-25953</v>
      </c>
    </row>
    <row r="180" spans="2:13" ht="21">
      <c r="B180" s="107" t="str">
        <f>+A105</f>
        <v>ส่วนแบ่งกำไรจากเงินลงทุนในบริษัทร่วม</v>
      </c>
      <c r="D180" s="107"/>
      <c r="E180" s="72"/>
      <c r="F180" s="72"/>
      <c r="G180" s="96">
        <f>-G105</f>
        <v>-804995</v>
      </c>
      <c r="H180" s="96"/>
      <c r="I180" s="96">
        <v>-842934</v>
      </c>
      <c r="J180" s="96"/>
      <c r="K180" s="96">
        <f>-K105</f>
        <v>0</v>
      </c>
      <c r="L180" s="96"/>
      <c r="M180" s="96">
        <v>0</v>
      </c>
    </row>
    <row r="181" spans="2:13" ht="21">
      <c r="B181" s="107" t="s">
        <v>191</v>
      </c>
      <c r="D181" s="107"/>
      <c r="E181" s="72"/>
      <c r="F181" s="72"/>
      <c r="G181" s="96">
        <f>-G95</f>
        <v>-131239</v>
      </c>
      <c r="H181" s="96"/>
      <c r="I181" s="96">
        <v>-1795048</v>
      </c>
      <c r="J181" s="96"/>
      <c r="K181" s="96">
        <f>-K95</f>
        <v>0</v>
      </c>
      <c r="L181" s="96"/>
      <c r="M181" s="96">
        <v>0</v>
      </c>
    </row>
    <row r="182" spans="2:13" ht="21">
      <c r="B182" s="107" t="s">
        <v>284</v>
      </c>
      <c r="D182" s="107"/>
      <c r="E182" s="72"/>
      <c r="F182" s="72"/>
      <c r="G182" s="96"/>
      <c r="H182" s="96"/>
      <c r="I182" s="96"/>
      <c r="J182" s="96"/>
      <c r="K182" s="96"/>
      <c r="L182" s="96"/>
      <c r="M182" s="96"/>
    </row>
    <row r="183" spans="2:13" ht="21">
      <c r="B183" s="107" t="s">
        <v>288</v>
      </c>
      <c r="D183" s="107"/>
      <c r="E183" s="72"/>
      <c r="F183" s="72"/>
      <c r="G183" s="96">
        <v>2758</v>
      </c>
      <c r="H183" s="96"/>
      <c r="I183" s="96">
        <v>2500</v>
      </c>
      <c r="J183" s="96"/>
      <c r="K183" s="96">
        <v>2758</v>
      </c>
      <c r="L183" s="96"/>
      <c r="M183" s="96">
        <v>2500</v>
      </c>
    </row>
    <row r="184" spans="2:13" ht="21">
      <c r="B184" s="107" t="s">
        <v>299</v>
      </c>
      <c r="D184" s="107"/>
      <c r="E184" s="72"/>
      <c r="F184" s="72"/>
      <c r="G184" s="96">
        <v>32400</v>
      </c>
      <c r="H184" s="96"/>
      <c r="I184" s="96">
        <v>5586</v>
      </c>
      <c r="J184" s="96"/>
      <c r="K184" s="96">
        <v>-50904</v>
      </c>
      <c r="L184" s="96"/>
      <c r="M184" s="96">
        <v>3624</v>
      </c>
    </row>
    <row r="185" spans="2:13" ht="21">
      <c r="B185" s="107" t="s">
        <v>314</v>
      </c>
      <c r="D185" s="107"/>
      <c r="E185" s="72"/>
      <c r="F185" s="72"/>
      <c r="G185" s="89">
        <v>0</v>
      </c>
      <c r="H185" s="89"/>
      <c r="I185" s="89">
        <v>0</v>
      </c>
      <c r="J185" s="89"/>
      <c r="K185" s="96">
        <v>-11812</v>
      </c>
      <c r="L185" s="89"/>
      <c r="M185" s="89">
        <v>12549</v>
      </c>
    </row>
    <row r="186" spans="2:13" ht="21">
      <c r="B186" s="107" t="s">
        <v>195</v>
      </c>
      <c r="D186" s="107"/>
      <c r="E186" s="72"/>
      <c r="F186" s="72"/>
      <c r="G186" s="89">
        <v>120967</v>
      </c>
      <c r="H186" s="89"/>
      <c r="I186" s="89">
        <v>91727</v>
      </c>
      <c r="J186" s="89"/>
      <c r="K186" s="96">
        <v>21754</v>
      </c>
      <c r="L186" s="89"/>
      <c r="M186" s="89">
        <v>16681</v>
      </c>
    </row>
    <row r="187" spans="2:13" ht="21">
      <c r="B187" s="107" t="s">
        <v>128</v>
      </c>
      <c r="D187" s="107"/>
      <c r="E187" s="72"/>
      <c r="F187" s="72"/>
      <c r="G187" s="89">
        <f>-G93</f>
        <v>-39270</v>
      </c>
      <c r="H187" s="96"/>
      <c r="I187" s="89">
        <v>-41641</v>
      </c>
      <c r="J187" s="96"/>
      <c r="K187" s="89">
        <f>-K93</f>
        <v>-202790</v>
      </c>
      <c r="L187" s="96"/>
      <c r="M187" s="89">
        <v>-136259</v>
      </c>
    </row>
    <row r="188" spans="2:13" ht="21">
      <c r="B188" s="107" t="s">
        <v>140</v>
      </c>
      <c r="D188" s="107"/>
      <c r="E188" s="72"/>
      <c r="F188" s="72"/>
      <c r="G188" s="89">
        <f>-G94</f>
        <v>-31964</v>
      </c>
      <c r="H188" s="96"/>
      <c r="I188" s="89">
        <v>-6926</v>
      </c>
      <c r="J188" s="96"/>
      <c r="K188" s="89">
        <f>-K94</f>
        <v>-1882541</v>
      </c>
      <c r="L188" s="96"/>
      <c r="M188" s="89">
        <v>-1025737</v>
      </c>
    </row>
    <row r="189" spans="2:13" ht="21">
      <c r="B189" s="107" t="s">
        <v>125</v>
      </c>
      <c r="D189" s="107"/>
      <c r="E189" s="72"/>
      <c r="F189" s="72"/>
      <c r="G189" s="94">
        <f>-G107</f>
        <v>705444</v>
      </c>
      <c r="H189" s="96"/>
      <c r="I189" s="94">
        <v>633672</v>
      </c>
      <c r="J189" s="96"/>
      <c r="K189" s="94">
        <f>-K107</f>
        <v>740596</v>
      </c>
      <c r="L189" s="96"/>
      <c r="M189" s="94">
        <v>576131</v>
      </c>
    </row>
    <row r="190" spans="1:13" ht="21">
      <c r="A190" s="72" t="s">
        <v>189</v>
      </c>
      <c r="G190" s="96"/>
      <c r="H190" s="96"/>
      <c r="I190" s="96"/>
      <c r="J190" s="96"/>
      <c r="K190" s="96"/>
      <c r="L190" s="96"/>
      <c r="M190" s="96"/>
    </row>
    <row r="191" spans="2:13" ht="21">
      <c r="B191" s="72" t="s">
        <v>190</v>
      </c>
      <c r="G191" s="89">
        <f>SUM(G171:G189)</f>
        <v>8513679</v>
      </c>
      <c r="H191" s="96"/>
      <c r="I191" s="89">
        <f>SUM(I171:I189)</f>
        <v>8202302</v>
      </c>
      <c r="J191" s="96"/>
      <c r="K191" s="89">
        <f>SUM(K171:K189)</f>
        <v>1647377</v>
      </c>
      <c r="L191" s="96"/>
      <c r="M191" s="89">
        <f>SUM(M171:M189)</f>
        <v>1436411</v>
      </c>
    </row>
    <row r="192" spans="7:13" ht="21">
      <c r="G192" s="89"/>
      <c r="H192" s="96"/>
      <c r="I192" s="89"/>
      <c r="J192" s="96"/>
      <c r="K192" s="89"/>
      <c r="L192" s="96"/>
      <c r="M192" s="89"/>
    </row>
    <row r="193" spans="1:13" ht="21">
      <c r="A193" s="72" t="s">
        <v>40</v>
      </c>
      <c r="G193" s="89"/>
      <c r="H193" s="96"/>
      <c r="I193" s="89"/>
      <c r="J193" s="96"/>
      <c r="K193" s="89"/>
      <c r="L193" s="96"/>
      <c r="M193" s="89"/>
    </row>
    <row r="194" spans="7:13" ht="21">
      <c r="G194" s="89"/>
      <c r="H194" s="96"/>
      <c r="I194" s="89"/>
      <c r="J194" s="96"/>
      <c r="K194" s="89"/>
      <c r="L194" s="96"/>
      <c r="M194" s="89"/>
    </row>
    <row r="195" spans="7:13" ht="21">
      <c r="G195" s="89"/>
      <c r="H195" s="96"/>
      <c r="I195" s="89"/>
      <c r="J195" s="96"/>
      <c r="K195" s="89"/>
      <c r="L195" s="96"/>
      <c r="M195" s="89"/>
    </row>
    <row r="196" spans="7:13" ht="21">
      <c r="G196" s="89"/>
      <c r="H196" s="96"/>
      <c r="I196" s="89"/>
      <c r="J196" s="96"/>
      <c r="K196" s="89"/>
      <c r="L196" s="96"/>
      <c r="M196" s="89"/>
    </row>
    <row r="197" spans="7:13" ht="21">
      <c r="G197" s="89"/>
      <c r="H197" s="96"/>
      <c r="I197" s="89"/>
      <c r="J197" s="96"/>
      <c r="K197" s="89"/>
      <c r="L197" s="96"/>
      <c r="M197" s="89"/>
    </row>
    <row r="198" spans="7:13" ht="21">
      <c r="G198" s="89"/>
      <c r="H198" s="96"/>
      <c r="I198" s="89"/>
      <c r="J198" s="96"/>
      <c r="K198" s="89"/>
      <c r="L198" s="96"/>
      <c r="M198" s="89"/>
    </row>
    <row r="199" spans="7:13" ht="21">
      <c r="G199" s="89"/>
      <c r="H199" s="96"/>
      <c r="I199" s="89"/>
      <c r="J199" s="96"/>
      <c r="K199" s="89"/>
      <c r="L199" s="96"/>
      <c r="M199" s="89"/>
    </row>
    <row r="200" spans="2:13" s="160" customFormat="1" ht="23.25">
      <c r="B200" s="157"/>
      <c r="C200" s="157"/>
      <c r="D200" s="158"/>
      <c r="E200" s="157"/>
      <c r="F200" s="157"/>
      <c r="G200" s="157"/>
      <c r="H200" s="157"/>
      <c r="I200" s="157"/>
      <c r="J200" s="157"/>
      <c r="K200" s="157"/>
      <c r="L200" s="157"/>
      <c r="M200" s="157" t="s">
        <v>295</v>
      </c>
    </row>
    <row r="201" spans="1:13" ht="2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172" t="s">
        <v>283</v>
      </c>
    </row>
    <row r="202" spans="1:13" ht="21">
      <c r="A202" s="71" t="s">
        <v>41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</row>
    <row r="203" spans="1:13" ht="21">
      <c r="A203" s="71" t="s">
        <v>184</v>
      </c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</row>
    <row r="204" spans="1:13" ht="21">
      <c r="A204" s="71" t="s">
        <v>311</v>
      </c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</row>
    <row r="205" spans="3:13" ht="21">
      <c r="C205" s="113"/>
      <c r="D205" s="113"/>
      <c r="E205" s="113"/>
      <c r="F205" s="114"/>
      <c r="G205" s="113"/>
      <c r="H205" s="113"/>
      <c r="I205" s="113"/>
      <c r="J205" s="113"/>
      <c r="M205" s="112" t="s">
        <v>255</v>
      </c>
    </row>
    <row r="206" spans="7:14" s="77" customFormat="1" ht="21">
      <c r="G206" s="191" t="s">
        <v>33</v>
      </c>
      <c r="H206" s="191"/>
      <c r="I206" s="191"/>
      <c r="J206" s="191"/>
      <c r="K206" s="191" t="s">
        <v>107</v>
      </c>
      <c r="L206" s="191"/>
      <c r="M206" s="191"/>
      <c r="N206" s="191"/>
    </row>
    <row r="207" spans="5:13" ht="21">
      <c r="E207" s="79"/>
      <c r="F207" s="72"/>
      <c r="G207" s="115">
        <v>2556</v>
      </c>
      <c r="H207" s="102"/>
      <c r="I207" s="115">
        <v>2555</v>
      </c>
      <c r="J207" s="81"/>
      <c r="K207" s="115">
        <v>2556</v>
      </c>
      <c r="L207" s="102"/>
      <c r="M207" s="115">
        <v>2555</v>
      </c>
    </row>
    <row r="208" spans="5:13" ht="21">
      <c r="E208" s="79"/>
      <c r="F208" s="72"/>
      <c r="G208" s="102"/>
      <c r="H208" s="102"/>
      <c r="I208" s="102" t="s">
        <v>266</v>
      </c>
      <c r="J208" s="81"/>
      <c r="K208" s="102"/>
      <c r="L208" s="102"/>
      <c r="M208" s="102" t="s">
        <v>266</v>
      </c>
    </row>
    <row r="209" spans="1:13" ht="21">
      <c r="A209" s="77" t="s">
        <v>252</v>
      </c>
      <c r="E209" s="80"/>
      <c r="F209" s="80"/>
      <c r="G209" s="82"/>
      <c r="I209" s="82"/>
      <c r="K209" s="82"/>
      <c r="L209" s="75"/>
      <c r="M209" s="82"/>
    </row>
    <row r="210" spans="1:13" ht="21">
      <c r="A210" s="72" t="s">
        <v>63</v>
      </c>
      <c r="G210" s="96"/>
      <c r="H210" s="96"/>
      <c r="I210" s="96"/>
      <c r="J210" s="96"/>
      <c r="K210" s="96"/>
      <c r="L210" s="96"/>
      <c r="M210" s="96"/>
    </row>
    <row r="211" spans="2:13" ht="21">
      <c r="B211" s="107" t="s">
        <v>205</v>
      </c>
      <c r="D211" s="107"/>
      <c r="E211" s="72"/>
      <c r="F211" s="72"/>
      <c r="G211" s="96">
        <v>-477880</v>
      </c>
      <c r="H211" s="96"/>
      <c r="I211" s="96">
        <v>-689965</v>
      </c>
      <c r="J211" s="96"/>
      <c r="K211" s="96">
        <v>-43533</v>
      </c>
      <c r="L211" s="96"/>
      <c r="M211" s="89">
        <v>7312</v>
      </c>
    </row>
    <row r="212" spans="2:13" ht="21">
      <c r="B212" s="107" t="s">
        <v>43</v>
      </c>
      <c r="D212" s="107"/>
      <c r="E212" s="72"/>
      <c r="F212" s="72"/>
      <c r="G212" s="96">
        <v>48497</v>
      </c>
      <c r="H212" s="96"/>
      <c r="I212" s="96">
        <v>416686</v>
      </c>
      <c r="J212" s="96"/>
      <c r="K212" s="96">
        <v>1756</v>
      </c>
      <c r="L212" s="96"/>
      <c r="M212" s="89">
        <v>145665</v>
      </c>
    </row>
    <row r="213" spans="2:13" ht="21">
      <c r="B213" s="107" t="s">
        <v>64</v>
      </c>
      <c r="D213" s="107"/>
      <c r="E213" s="72"/>
      <c r="F213" s="72"/>
      <c r="G213" s="96">
        <v>-15505</v>
      </c>
      <c r="H213" s="96"/>
      <c r="I213" s="96">
        <v>-54814</v>
      </c>
      <c r="J213" s="96"/>
      <c r="K213" s="96">
        <v>-8838</v>
      </c>
      <c r="L213" s="96"/>
      <c r="M213" s="89">
        <v>-21596</v>
      </c>
    </row>
    <row r="214" spans="2:13" ht="21">
      <c r="B214" s="107" t="s">
        <v>65</v>
      </c>
      <c r="D214" s="107"/>
      <c r="E214" s="72"/>
      <c r="F214" s="72"/>
      <c r="G214" s="96">
        <v>14947</v>
      </c>
      <c r="H214" s="96"/>
      <c r="I214" s="96">
        <v>-16646</v>
      </c>
      <c r="J214" s="96"/>
      <c r="K214" s="96">
        <v>-2427</v>
      </c>
      <c r="L214" s="96"/>
      <c r="M214" s="89">
        <v>-205</v>
      </c>
    </row>
    <row r="215" spans="1:13" ht="21">
      <c r="A215" s="72" t="s">
        <v>66</v>
      </c>
      <c r="G215" s="96"/>
      <c r="H215" s="96"/>
      <c r="I215" s="96"/>
      <c r="J215" s="96"/>
      <c r="K215" s="96"/>
      <c r="L215" s="96"/>
      <c r="M215" s="96"/>
    </row>
    <row r="216" spans="2:13" ht="21">
      <c r="B216" s="107" t="s">
        <v>206</v>
      </c>
      <c r="D216" s="107"/>
      <c r="E216" s="72"/>
      <c r="F216" s="72"/>
      <c r="G216" s="96">
        <v>-7339</v>
      </c>
      <c r="H216" s="96"/>
      <c r="I216" s="96">
        <v>-287347</v>
      </c>
      <c r="J216" s="96"/>
      <c r="K216" s="96">
        <v>8695</v>
      </c>
      <c r="L216" s="96"/>
      <c r="M216" s="89">
        <v>-119052</v>
      </c>
    </row>
    <row r="217" spans="2:13" ht="21">
      <c r="B217" s="107" t="s">
        <v>44</v>
      </c>
      <c r="D217" s="107"/>
      <c r="E217" s="72"/>
      <c r="F217" s="72"/>
      <c r="G217" s="96">
        <v>1103890</v>
      </c>
      <c r="H217" s="96"/>
      <c r="I217" s="96">
        <v>1340173</v>
      </c>
      <c r="J217" s="96"/>
      <c r="K217" s="96">
        <v>233769</v>
      </c>
      <c r="L217" s="96"/>
      <c r="M217" s="89">
        <v>384935</v>
      </c>
    </row>
    <row r="218" spans="2:13" ht="21">
      <c r="B218" s="107" t="s">
        <v>6</v>
      </c>
      <c r="D218" s="107"/>
      <c r="E218" s="72"/>
      <c r="F218" s="72"/>
      <c r="G218" s="96">
        <v>-12735</v>
      </c>
      <c r="H218" s="96"/>
      <c r="I218" s="96">
        <v>-5023</v>
      </c>
      <c r="J218" s="96"/>
      <c r="K218" s="96">
        <v>59713</v>
      </c>
      <c r="L218" s="96"/>
      <c r="M218" s="89">
        <v>-23211</v>
      </c>
    </row>
    <row r="219" spans="2:13" ht="21">
      <c r="B219" s="107" t="s">
        <v>158</v>
      </c>
      <c r="D219" s="107"/>
      <c r="E219" s="72"/>
      <c r="F219" s="72"/>
      <c r="G219" s="96">
        <v>-15877</v>
      </c>
      <c r="H219" s="96"/>
      <c r="I219" s="96">
        <v>-10509</v>
      </c>
      <c r="J219" s="96"/>
      <c r="K219" s="96">
        <v>-436</v>
      </c>
      <c r="L219" s="96"/>
      <c r="M219" s="96">
        <v>-2198</v>
      </c>
    </row>
    <row r="220" spans="2:13" ht="21">
      <c r="B220" s="107" t="s">
        <v>46</v>
      </c>
      <c r="D220" s="107"/>
      <c r="E220" s="72"/>
      <c r="F220" s="72"/>
      <c r="G220" s="94">
        <v>14599</v>
      </c>
      <c r="H220" s="96"/>
      <c r="I220" s="94">
        <v>113240</v>
      </c>
      <c r="J220" s="96"/>
      <c r="K220" s="94">
        <v>-6022</v>
      </c>
      <c r="L220" s="96"/>
      <c r="M220" s="94">
        <v>68486</v>
      </c>
    </row>
    <row r="221" spans="1:13" ht="21">
      <c r="A221" s="72" t="s">
        <v>126</v>
      </c>
      <c r="D221" s="107"/>
      <c r="E221" s="72"/>
      <c r="F221" s="72"/>
      <c r="G221" s="89">
        <f>SUM(G191,G211:G220)</f>
        <v>9166276</v>
      </c>
      <c r="H221" s="96"/>
      <c r="I221" s="89">
        <f>SUM(I191,I211:I220)</f>
        <v>9008097</v>
      </c>
      <c r="J221" s="96"/>
      <c r="K221" s="89">
        <f>SUM(K191,K211:K220)</f>
        <v>1890054</v>
      </c>
      <c r="L221" s="96"/>
      <c r="M221" s="89">
        <f>SUM(M191,M211:M220)</f>
        <v>1876547</v>
      </c>
    </row>
    <row r="222" spans="2:13" ht="21">
      <c r="B222" s="101" t="s">
        <v>49</v>
      </c>
      <c r="D222" s="107"/>
      <c r="E222" s="72"/>
      <c r="F222" s="72"/>
      <c r="G222" s="89">
        <v>37389</v>
      </c>
      <c r="H222" s="96"/>
      <c r="I222" s="89">
        <v>28130</v>
      </c>
      <c r="J222" s="96"/>
      <c r="K222" s="96">
        <v>207422</v>
      </c>
      <c r="L222" s="96"/>
      <c r="M222" s="96">
        <v>123632</v>
      </c>
    </row>
    <row r="223" spans="1:13" ht="21">
      <c r="A223" s="101"/>
      <c r="B223" s="101" t="s">
        <v>127</v>
      </c>
      <c r="D223" s="107"/>
      <c r="E223" s="72"/>
      <c r="F223" s="72"/>
      <c r="G223" s="72">
        <v>-707191</v>
      </c>
      <c r="H223" s="89"/>
      <c r="I223" s="72">
        <v>-605751</v>
      </c>
      <c r="J223" s="89"/>
      <c r="K223" s="96">
        <v>-749412</v>
      </c>
      <c r="L223" s="89"/>
      <c r="M223" s="96">
        <v>-561620</v>
      </c>
    </row>
    <row r="224" spans="1:13" ht="21">
      <c r="A224" s="101"/>
      <c r="B224" s="101" t="s">
        <v>199</v>
      </c>
      <c r="D224" s="107"/>
      <c r="E224" s="72"/>
      <c r="F224" s="72"/>
      <c r="G224" s="72">
        <v>5825</v>
      </c>
      <c r="H224" s="89"/>
      <c r="I224" s="96">
        <v>21538</v>
      </c>
      <c r="J224" s="89"/>
      <c r="K224" s="96">
        <v>0</v>
      </c>
      <c r="L224" s="89"/>
      <c r="M224" s="96">
        <v>0</v>
      </c>
    </row>
    <row r="225" spans="1:13" ht="21">
      <c r="A225" s="101"/>
      <c r="B225" s="101" t="s">
        <v>290</v>
      </c>
      <c r="D225" s="107"/>
      <c r="E225" s="72"/>
      <c r="F225" s="72"/>
      <c r="G225" s="94">
        <v>-1485002</v>
      </c>
      <c r="H225" s="96"/>
      <c r="I225" s="94">
        <v>-1610188</v>
      </c>
      <c r="J225" s="96"/>
      <c r="K225" s="96">
        <v>-141023</v>
      </c>
      <c r="L225" s="96"/>
      <c r="M225" s="96">
        <v>-157307</v>
      </c>
    </row>
    <row r="226" spans="1:13" ht="21">
      <c r="A226" s="77" t="s">
        <v>150</v>
      </c>
      <c r="G226" s="95">
        <f>SUM(G221:G225)</f>
        <v>7017297</v>
      </c>
      <c r="H226" s="96"/>
      <c r="I226" s="95">
        <f>SUM(I221:I225)</f>
        <v>6841826</v>
      </c>
      <c r="J226" s="96"/>
      <c r="K226" s="95">
        <f>SUM(K221:K225)</f>
        <v>1207041</v>
      </c>
      <c r="L226" s="89"/>
      <c r="M226" s="95">
        <f>SUM(M221:M225)</f>
        <v>1281252</v>
      </c>
    </row>
    <row r="227" spans="1:13" ht="21">
      <c r="A227" s="77"/>
      <c r="G227" s="89"/>
      <c r="H227" s="96"/>
      <c r="I227" s="89"/>
      <c r="J227" s="96"/>
      <c r="K227" s="89"/>
      <c r="L227" s="89"/>
      <c r="M227" s="89"/>
    </row>
    <row r="228" spans="1:13" ht="21">
      <c r="A228" s="72" t="s">
        <v>40</v>
      </c>
      <c r="G228" s="89"/>
      <c r="H228" s="96"/>
      <c r="I228" s="89"/>
      <c r="J228" s="96"/>
      <c r="K228" s="89"/>
      <c r="L228" s="89"/>
      <c r="M228" s="89"/>
    </row>
    <row r="229" spans="7:13" ht="21">
      <c r="G229" s="89"/>
      <c r="H229" s="96"/>
      <c r="I229" s="89"/>
      <c r="J229" s="96"/>
      <c r="K229" s="89"/>
      <c r="L229" s="89"/>
      <c r="M229" s="89"/>
    </row>
    <row r="230" spans="7:13" ht="21">
      <c r="G230" s="89"/>
      <c r="H230" s="96"/>
      <c r="I230" s="89"/>
      <c r="J230" s="96"/>
      <c r="K230" s="89"/>
      <c r="L230" s="89"/>
      <c r="M230" s="89"/>
    </row>
    <row r="231" spans="7:13" ht="21">
      <c r="G231" s="89"/>
      <c r="H231" s="96"/>
      <c r="I231" s="89"/>
      <c r="J231" s="96"/>
      <c r="K231" s="89"/>
      <c r="L231" s="89"/>
      <c r="M231" s="89"/>
    </row>
    <row r="232" spans="7:13" ht="21">
      <c r="G232" s="89"/>
      <c r="H232" s="96"/>
      <c r="I232" s="89"/>
      <c r="J232" s="96"/>
      <c r="K232" s="89"/>
      <c r="L232" s="89"/>
      <c r="M232" s="89"/>
    </row>
    <row r="233" spans="7:13" ht="21">
      <c r="G233" s="89"/>
      <c r="H233" s="96"/>
      <c r="I233" s="89"/>
      <c r="J233" s="96"/>
      <c r="K233" s="89"/>
      <c r="L233" s="89"/>
      <c r="M233" s="89"/>
    </row>
    <row r="234" spans="7:13" ht="21">
      <c r="G234" s="89"/>
      <c r="H234" s="96"/>
      <c r="I234" s="89"/>
      <c r="J234" s="96"/>
      <c r="K234" s="89"/>
      <c r="L234" s="89"/>
      <c r="M234" s="89"/>
    </row>
    <row r="235" spans="7:13" ht="21">
      <c r="G235" s="89"/>
      <c r="H235" s="96"/>
      <c r="I235" s="89"/>
      <c r="J235" s="96"/>
      <c r="K235" s="89"/>
      <c r="L235" s="89"/>
      <c r="M235" s="89"/>
    </row>
    <row r="236" spans="7:13" ht="21">
      <c r="G236" s="89"/>
      <c r="H236" s="96"/>
      <c r="I236" s="89"/>
      <c r="J236" s="96"/>
      <c r="K236" s="89"/>
      <c r="L236" s="89"/>
      <c r="M236" s="89"/>
    </row>
    <row r="237" spans="7:13" ht="21">
      <c r="G237" s="89"/>
      <c r="H237" s="96"/>
      <c r="I237" s="89"/>
      <c r="J237" s="96"/>
      <c r="K237" s="89"/>
      <c r="L237" s="89"/>
      <c r="M237" s="89"/>
    </row>
    <row r="238" spans="7:13" ht="21">
      <c r="G238" s="89"/>
      <c r="H238" s="96"/>
      <c r="I238" s="89"/>
      <c r="J238" s="96"/>
      <c r="K238" s="89"/>
      <c r="L238" s="89"/>
      <c r="M238" s="89"/>
    </row>
    <row r="239" spans="5:13" s="158" customFormat="1" ht="23.25">
      <c r="E239" s="162"/>
      <c r="F239" s="162"/>
      <c r="G239" s="170"/>
      <c r="H239" s="171"/>
      <c r="I239" s="170"/>
      <c r="J239" s="171"/>
      <c r="K239" s="170"/>
      <c r="L239" s="170"/>
      <c r="M239" s="170">
        <v>12</v>
      </c>
    </row>
    <row r="240" spans="1:13" ht="18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172" t="s">
        <v>283</v>
      </c>
    </row>
    <row r="241" spans="1:13" ht="18" customHeight="1">
      <c r="A241" s="71" t="s">
        <v>41</v>
      </c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</row>
    <row r="242" spans="1:13" ht="18" customHeight="1">
      <c r="A242" s="71" t="s">
        <v>184</v>
      </c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</row>
    <row r="243" spans="1:13" ht="20.25" customHeight="1">
      <c r="A243" s="71" t="s">
        <v>306</v>
      </c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</row>
    <row r="244" spans="3:13" ht="16.5" customHeight="1">
      <c r="C244" s="113"/>
      <c r="D244" s="113"/>
      <c r="E244" s="113"/>
      <c r="F244" s="114"/>
      <c r="G244" s="113"/>
      <c r="H244" s="113"/>
      <c r="I244" s="113"/>
      <c r="J244" s="113"/>
      <c r="M244" s="112" t="s">
        <v>255</v>
      </c>
    </row>
    <row r="245" spans="7:14" s="77" customFormat="1" ht="17.25" customHeight="1">
      <c r="G245" s="191" t="s">
        <v>33</v>
      </c>
      <c r="H245" s="191"/>
      <c r="I245" s="191"/>
      <c r="J245" s="191"/>
      <c r="K245" s="191" t="s">
        <v>107</v>
      </c>
      <c r="L245" s="191"/>
      <c r="M245" s="191"/>
      <c r="N245" s="191"/>
    </row>
    <row r="246" spans="5:13" ht="17.25" customHeight="1">
      <c r="E246" s="79"/>
      <c r="F246" s="72"/>
      <c r="G246" s="115">
        <v>2556</v>
      </c>
      <c r="H246" s="102"/>
      <c r="I246" s="115">
        <v>2555</v>
      </c>
      <c r="J246" s="81"/>
      <c r="K246" s="115">
        <v>2556</v>
      </c>
      <c r="L246" s="102"/>
      <c r="M246" s="115">
        <v>2555</v>
      </c>
    </row>
    <row r="247" spans="5:13" ht="21">
      <c r="E247" s="79"/>
      <c r="F247" s="72"/>
      <c r="G247" s="102"/>
      <c r="H247" s="102"/>
      <c r="I247" s="102" t="s">
        <v>266</v>
      </c>
      <c r="J247" s="81"/>
      <c r="K247" s="102"/>
      <c r="L247" s="102"/>
      <c r="M247" s="102" t="s">
        <v>266</v>
      </c>
    </row>
    <row r="248" spans="1:9" ht="21">
      <c r="A248" s="77" t="s">
        <v>16</v>
      </c>
      <c r="I248" s="75"/>
    </row>
    <row r="249" spans="1:14" ht="21">
      <c r="A249" s="107" t="s">
        <v>300</v>
      </c>
      <c r="C249" s="107"/>
      <c r="D249" s="107"/>
      <c r="E249" s="72"/>
      <c r="F249" s="72"/>
      <c r="G249" s="96">
        <v>285034</v>
      </c>
      <c r="H249" s="96"/>
      <c r="I249" s="96">
        <v>186170</v>
      </c>
      <c r="J249" s="96"/>
      <c r="K249" s="96">
        <f>-('BS&amp;PL'!M13-'BS&amp;PL'!O13)</f>
        <v>-3</v>
      </c>
      <c r="L249" s="96"/>
      <c r="M249" s="96">
        <v>0</v>
      </c>
      <c r="N249" s="77"/>
    </row>
    <row r="250" spans="1:14" ht="21">
      <c r="A250" s="107" t="s">
        <v>315</v>
      </c>
      <c r="C250" s="107"/>
      <c r="D250" s="107"/>
      <c r="E250" s="72"/>
      <c r="F250" s="72"/>
      <c r="G250" s="96">
        <v>-247</v>
      </c>
      <c r="H250" s="96"/>
      <c r="I250" s="96">
        <v>2666</v>
      </c>
      <c r="J250" s="96"/>
      <c r="K250" s="96">
        <f>-('BS&amp;PL'!M22-'BS&amp;PL'!O22)</f>
        <v>-14000</v>
      </c>
      <c r="L250" s="96"/>
      <c r="M250" s="96">
        <v>0</v>
      </c>
      <c r="N250" s="77"/>
    </row>
    <row r="251" spans="1:14" ht="21">
      <c r="A251" s="107" t="s">
        <v>318</v>
      </c>
      <c r="C251" s="107"/>
      <c r="D251" s="107"/>
      <c r="E251" s="72"/>
      <c r="F251" s="72"/>
      <c r="G251" s="96">
        <v>-10418</v>
      </c>
      <c r="H251" s="96"/>
      <c r="I251" s="96">
        <v>50000</v>
      </c>
      <c r="J251" s="96"/>
      <c r="K251" s="96">
        <v>0</v>
      </c>
      <c r="L251" s="96"/>
      <c r="M251" s="96">
        <v>0</v>
      </c>
      <c r="N251" s="77"/>
    </row>
    <row r="252" spans="1:14" ht="21">
      <c r="A252" s="107" t="s">
        <v>112</v>
      </c>
      <c r="C252" s="107"/>
      <c r="D252" s="107"/>
      <c r="E252" s="72"/>
      <c r="F252" s="72"/>
      <c r="G252" s="96">
        <v>444128</v>
      </c>
      <c r="H252" s="96"/>
      <c r="I252" s="96">
        <v>251229</v>
      </c>
      <c r="J252" s="96"/>
      <c r="K252" s="96">
        <v>1890339</v>
      </c>
      <c r="L252" s="96"/>
      <c r="M252" s="96">
        <v>1025737</v>
      </c>
      <c r="N252" s="77"/>
    </row>
    <row r="253" spans="1:13" ht="21">
      <c r="A253" s="107" t="s">
        <v>149</v>
      </c>
      <c r="C253" s="107"/>
      <c r="D253" s="107"/>
      <c r="E253" s="72"/>
      <c r="F253" s="72"/>
      <c r="G253" s="96">
        <v>0</v>
      </c>
      <c r="H253" s="96"/>
      <c r="I253" s="96">
        <v>11558</v>
      </c>
      <c r="J253" s="96"/>
      <c r="K253" s="96">
        <v>0</v>
      </c>
      <c r="L253" s="96"/>
      <c r="M253" s="96">
        <v>1534</v>
      </c>
    </row>
    <row r="254" spans="1:13" ht="21">
      <c r="A254" s="107" t="s">
        <v>272</v>
      </c>
      <c r="C254" s="107"/>
      <c r="D254" s="107"/>
      <c r="E254" s="72"/>
      <c r="F254" s="72"/>
      <c r="G254" s="96">
        <v>4</v>
      </c>
      <c r="H254" s="96"/>
      <c r="I254" s="96">
        <v>0</v>
      </c>
      <c r="J254" s="96"/>
      <c r="K254" s="96">
        <v>4</v>
      </c>
      <c r="L254" s="96"/>
      <c r="M254" s="96">
        <v>0</v>
      </c>
    </row>
    <row r="255" spans="1:13" ht="21">
      <c r="A255" s="107" t="s">
        <v>196</v>
      </c>
      <c r="C255" s="107"/>
      <c r="D255" s="107"/>
      <c r="E255" s="72"/>
      <c r="F255" s="72"/>
      <c r="G255" s="96">
        <v>-306719</v>
      </c>
      <c r="H255" s="96"/>
      <c r="I255" s="96">
        <v>-4266955</v>
      </c>
      <c r="J255" s="96"/>
      <c r="K255" s="96">
        <v>-2418068</v>
      </c>
      <c r="L255" s="96"/>
      <c r="M255" s="96">
        <v>-5228486</v>
      </c>
    </row>
    <row r="256" spans="1:13" ht="21">
      <c r="A256" s="107" t="s">
        <v>271</v>
      </c>
      <c r="C256" s="107"/>
      <c r="D256" s="107"/>
      <c r="E256" s="72"/>
      <c r="F256" s="72"/>
      <c r="G256" s="96">
        <v>821</v>
      </c>
      <c r="H256" s="96"/>
      <c r="I256" s="96">
        <v>0</v>
      </c>
      <c r="J256" s="96"/>
      <c r="K256" s="96">
        <v>821</v>
      </c>
      <c r="L256" s="96"/>
      <c r="M256" s="96">
        <v>0</v>
      </c>
    </row>
    <row r="257" spans="1:13" ht="21">
      <c r="A257" s="107" t="s">
        <v>207</v>
      </c>
      <c r="C257" s="107"/>
      <c r="D257" s="107"/>
      <c r="E257" s="72"/>
      <c r="F257" s="72"/>
      <c r="G257" s="96">
        <v>-6677</v>
      </c>
      <c r="H257" s="96"/>
      <c r="I257" s="96">
        <v>-18431</v>
      </c>
      <c r="J257" s="96"/>
      <c r="K257" s="96">
        <v>-6677</v>
      </c>
      <c r="L257" s="96"/>
      <c r="M257" s="96">
        <v>-18431</v>
      </c>
    </row>
    <row r="258" spans="1:13" ht="21">
      <c r="A258" s="107" t="s">
        <v>129</v>
      </c>
      <c r="C258" s="107"/>
      <c r="D258" s="107"/>
      <c r="E258" s="72"/>
      <c r="F258" s="72"/>
      <c r="G258" s="96">
        <v>20639</v>
      </c>
      <c r="H258" s="96"/>
      <c r="I258" s="96">
        <v>32776</v>
      </c>
      <c r="J258" s="96"/>
      <c r="K258" s="96">
        <v>152720</v>
      </c>
      <c r="L258" s="96"/>
      <c r="M258" s="96">
        <v>16096</v>
      </c>
    </row>
    <row r="259" spans="1:13" ht="21">
      <c r="A259" s="107" t="s">
        <v>326</v>
      </c>
      <c r="C259" s="107"/>
      <c r="D259" s="107"/>
      <c r="E259" s="72"/>
      <c r="F259" s="72"/>
      <c r="G259" s="96">
        <v>0</v>
      </c>
      <c r="H259" s="96"/>
      <c r="I259" s="96">
        <v>0</v>
      </c>
      <c r="J259" s="96"/>
      <c r="K259" s="96">
        <v>52133</v>
      </c>
      <c r="L259" s="96"/>
      <c r="M259" s="96">
        <v>0</v>
      </c>
    </row>
    <row r="260" spans="1:13" ht="21">
      <c r="A260" s="107" t="s">
        <v>130</v>
      </c>
      <c r="C260" s="107"/>
      <c r="D260" s="107"/>
      <c r="E260" s="72"/>
      <c r="F260" s="72"/>
      <c r="G260" s="96">
        <v>-5564563</v>
      </c>
      <c r="H260" s="96"/>
      <c r="I260" s="96">
        <v>-4189925</v>
      </c>
      <c r="J260" s="96"/>
      <c r="K260" s="96">
        <v>-979128</v>
      </c>
      <c r="L260" s="96"/>
      <c r="M260" s="96">
        <v>-1104712</v>
      </c>
    </row>
    <row r="261" spans="1:13" ht="21">
      <c r="A261" s="107" t="s">
        <v>197</v>
      </c>
      <c r="C261" s="107"/>
      <c r="D261" s="107"/>
      <c r="E261" s="72"/>
      <c r="F261" s="72"/>
      <c r="G261" s="96">
        <v>-365540</v>
      </c>
      <c r="H261" s="96"/>
      <c r="I261" s="96">
        <v>-3190</v>
      </c>
      <c r="J261" s="96"/>
      <c r="K261" s="96">
        <v>-311871</v>
      </c>
      <c r="L261" s="96"/>
      <c r="M261" s="96">
        <v>0</v>
      </c>
    </row>
    <row r="262" spans="1:13" ht="21">
      <c r="A262" s="107" t="s">
        <v>316</v>
      </c>
      <c r="C262" s="107"/>
      <c r="D262" s="107"/>
      <c r="E262" s="72"/>
      <c r="F262" s="72"/>
      <c r="G262" s="96">
        <v>0</v>
      </c>
      <c r="H262" s="96"/>
      <c r="I262" s="96">
        <v>0</v>
      </c>
      <c r="J262" s="96"/>
      <c r="K262" s="96">
        <v>-14761</v>
      </c>
      <c r="L262" s="96"/>
      <c r="M262" s="96">
        <v>68878</v>
      </c>
    </row>
    <row r="263" spans="1:13" ht="21">
      <c r="A263" s="107" t="s">
        <v>200</v>
      </c>
      <c r="C263" s="107"/>
      <c r="D263" s="107"/>
      <c r="E263" s="72"/>
      <c r="F263" s="72"/>
      <c r="G263" s="89">
        <v>0</v>
      </c>
      <c r="H263" s="96"/>
      <c r="I263" s="89">
        <v>0</v>
      </c>
      <c r="J263" s="96"/>
      <c r="K263" s="96">
        <v>-706436</v>
      </c>
      <c r="L263" s="96"/>
      <c r="M263" s="96">
        <v>-4173847</v>
      </c>
    </row>
    <row r="264" spans="1:13" ht="21">
      <c r="A264" s="107" t="s">
        <v>135</v>
      </c>
      <c r="C264" s="107"/>
      <c r="D264" s="107"/>
      <c r="E264" s="72"/>
      <c r="F264" s="72"/>
      <c r="G264" s="96">
        <v>0</v>
      </c>
      <c r="H264" s="96"/>
      <c r="I264" s="96">
        <v>0</v>
      </c>
      <c r="J264" s="96"/>
      <c r="K264" s="96">
        <v>472919</v>
      </c>
      <c r="L264" s="96"/>
      <c r="M264" s="96">
        <v>488116</v>
      </c>
    </row>
    <row r="265" spans="1:13" ht="21">
      <c r="A265" s="107" t="s">
        <v>201</v>
      </c>
      <c r="C265" s="107"/>
      <c r="D265" s="107"/>
      <c r="E265" s="72"/>
      <c r="F265" s="72"/>
      <c r="G265" s="96">
        <v>-159321</v>
      </c>
      <c r="H265" s="89"/>
      <c r="I265" s="96">
        <v>-104542</v>
      </c>
      <c r="J265" s="89"/>
      <c r="K265" s="96">
        <v>-101522</v>
      </c>
      <c r="L265" s="89"/>
      <c r="M265" s="96">
        <v>-54530</v>
      </c>
    </row>
    <row r="266" spans="1:13" ht="21">
      <c r="A266" s="77" t="s">
        <v>227</v>
      </c>
      <c r="G266" s="95">
        <f>SUM(G249:G265)</f>
        <v>-5662859</v>
      </c>
      <c r="H266" s="96"/>
      <c r="I266" s="95">
        <f>SUM(I249:I265)</f>
        <v>-8048644</v>
      </c>
      <c r="J266" s="96"/>
      <c r="K266" s="95">
        <f>SUM(K249:K265)</f>
        <v>-1983530</v>
      </c>
      <c r="L266" s="96"/>
      <c r="M266" s="95">
        <f>SUM(M249:M265)</f>
        <v>-8979645</v>
      </c>
    </row>
    <row r="267" spans="7:13" ht="21">
      <c r="G267" s="89"/>
      <c r="H267" s="96"/>
      <c r="I267" s="89"/>
      <c r="J267" s="96"/>
      <c r="K267" s="89"/>
      <c r="L267" s="89"/>
      <c r="M267" s="89"/>
    </row>
    <row r="268" spans="1:13" ht="21">
      <c r="A268" s="72" t="s">
        <v>40</v>
      </c>
      <c r="G268" s="89"/>
      <c r="H268" s="96"/>
      <c r="I268" s="89"/>
      <c r="J268" s="96"/>
      <c r="K268" s="89"/>
      <c r="L268" s="89"/>
      <c r="M268" s="89"/>
    </row>
    <row r="269" spans="7:13" ht="21">
      <c r="G269" s="89"/>
      <c r="H269" s="96"/>
      <c r="I269" s="89"/>
      <c r="J269" s="96"/>
      <c r="K269" s="89"/>
      <c r="L269" s="89"/>
      <c r="M269" s="89"/>
    </row>
    <row r="270" spans="7:13" ht="21">
      <c r="G270" s="89"/>
      <c r="H270" s="96"/>
      <c r="I270" s="89"/>
      <c r="J270" s="96"/>
      <c r="K270" s="89"/>
      <c r="L270" s="89"/>
      <c r="M270" s="89"/>
    </row>
    <row r="271" spans="7:13" ht="21">
      <c r="G271" s="89"/>
      <c r="H271" s="96"/>
      <c r="I271" s="89"/>
      <c r="J271" s="96"/>
      <c r="K271" s="89"/>
      <c r="L271" s="89"/>
      <c r="M271" s="89"/>
    </row>
    <row r="272" spans="7:13" ht="21">
      <c r="G272" s="89"/>
      <c r="H272" s="96"/>
      <c r="I272" s="89"/>
      <c r="J272" s="96"/>
      <c r="K272" s="89"/>
      <c r="L272" s="89"/>
      <c r="M272" s="89"/>
    </row>
    <row r="273" spans="7:13" ht="21">
      <c r="G273" s="89"/>
      <c r="H273" s="96"/>
      <c r="I273" s="89"/>
      <c r="J273" s="96"/>
      <c r="K273" s="89"/>
      <c r="L273" s="89"/>
      <c r="M273" s="89"/>
    </row>
    <row r="274" spans="7:13" ht="21">
      <c r="G274" s="89"/>
      <c r="H274" s="96"/>
      <c r="I274" s="89"/>
      <c r="J274" s="96"/>
      <c r="K274" s="89"/>
      <c r="L274" s="89"/>
      <c r="M274" s="89"/>
    </row>
    <row r="275" spans="7:13" ht="21">
      <c r="G275" s="89"/>
      <c r="H275" s="96"/>
      <c r="I275" s="89"/>
      <c r="J275" s="96"/>
      <c r="K275" s="89"/>
      <c r="L275" s="89"/>
      <c r="M275" s="89"/>
    </row>
    <row r="276" spans="7:13" ht="21">
      <c r="G276" s="89"/>
      <c r="H276" s="96"/>
      <c r="I276" s="89"/>
      <c r="J276" s="96"/>
      <c r="K276" s="89"/>
      <c r="L276" s="89"/>
      <c r="M276" s="89"/>
    </row>
    <row r="277" spans="7:13" ht="21">
      <c r="G277" s="89"/>
      <c r="H277" s="96"/>
      <c r="I277" s="89"/>
      <c r="J277" s="96"/>
      <c r="K277" s="89"/>
      <c r="L277" s="89"/>
      <c r="M277" s="89"/>
    </row>
    <row r="278" spans="7:13" ht="21">
      <c r="G278" s="89"/>
      <c r="H278" s="96"/>
      <c r="I278" s="89"/>
      <c r="J278" s="96"/>
      <c r="K278" s="89"/>
      <c r="L278" s="89"/>
      <c r="M278" s="89"/>
    </row>
    <row r="279" spans="5:13" s="158" customFormat="1" ht="23.25">
      <c r="E279" s="162"/>
      <c r="F279" s="162"/>
      <c r="G279" s="170"/>
      <c r="H279" s="171"/>
      <c r="I279" s="170"/>
      <c r="J279" s="171"/>
      <c r="K279" s="170"/>
      <c r="L279" s="170"/>
      <c r="M279" s="170">
        <v>13</v>
      </c>
    </row>
    <row r="280" spans="2:13" ht="18" customHeight="1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172" t="s">
        <v>283</v>
      </c>
    </row>
    <row r="281" spans="1:13" ht="18" customHeight="1">
      <c r="A281" s="71" t="s">
        <v>41</v>
      </c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</row>
    <row r="282" spans="1:13" ht="18" customHeight="1">
      <c r="A282" s="71" t="s">
        <v>184</v>
      </c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</row>
    <row r="283" spans="1:13" ht="20.25" customHeight="1">
      <c r="A283" s="71" t="s">
        <v>307</v>
      </c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</row>
    <row r="284" spans="3:13" ht="16.5" customHeight="1">
      <c r="C284" s="113"/>
      <c r="D284" s="113"/>
      <c r="E284" s="113"/>
      <c r="F284" s="114"/>
      <c r="G284" s="113"/>
      <c r="H284" s="113"/>
      <c r="I284" s="113"/>
      <c r="J284" s="113"/>
      <c r="M284" s="112" t="s">
        <v>255</v>
      </c>
    </row>
    <row r="285" spans="7:14" s="77" customFormat="1" ht="17.25" customHeight="1">
      <c r="G285" s="191" t="s">
        <v>33</v>
      </c>
      <c r="H285" s="191"/>
      <c r="I285" s="191"/>
      <c r="J285" s="191"/>
      <c r="K285" s="191" t="s">
        <v>107</v>
      </c>
      <c r="L285" s="191"/>
      <c r="M285" s="191"/>
      <c r="N285" s="191"/>
    </row>
    <row r="286" spans="5:13" ht="17.25" customHeight="1">
      <c r="E286" s="79"/>
      <c r="F286" s="72"/>
      <c r="G286" s="115">
        <v>2556</v>
      </c>
      <c r="H286" s="102"/>
      <c r="I286" s="115">
        <v>2555</v>
      </c>
      <c r="J286" s="81"/>
      <c r="K286" s="115">
        <v>2556</v>
      </c>
      <c r="L286" s="102"/>
      <c r="M286" s="115">
        <v>2555</v>
      </c>
    </row>
    <row r="287" spans="5:13" ht="21">
      <c r="E287" s="79"/>
      <c r="F287" s="72"/>
      <c r="G287" s="102"/>
      <c r="H287" s="102"/>
      <c r="I287" s="102" t="s">
        <v>266</v>
      </c>
      <c r="J287" s="81"/>
      <c r="K287" s="102"/>
      <c r="L287" s="102"/>
      <c r="M287" s="102" t="s">
        <v>266</v>
      </c>
    </row>
    <row r="288" spans="1:13" ht="21">
      <c r="A288" s="77" t="s">
        <v>228</v>
      </c>
      <c r="G288" s="96"/>
      <c r="H288" s="96"/>
      <c r="I288" s="96"/>
      <c r="J288" s="96"/>
      <c r="K288" s="96"/>
      <c r="L288" s="96"/>
      <c r="M288" s="96"/>
    </row>
    <row r="289" spans="1:14" ht="21">
      <c r="A289" s="107" t="s">
        <v>317</v>
      </c>
      <c r="C289" s="107"/>
      <c r="D289" s="107"/>
      <c r="E289" s="72"/>
      <c r="F289" s="72"/>
      <c r="G289" s="89">
        <v>0</v>
      </c>
      <c r="H289" s="96"/>
      <c r="I289" s="89">
        <v>0</v>
      </c>
      <c r="J289" s="96"/>
      <c r="K289" s="89">
        <f>'BS&amp;PL'!M61-'BS&amp;PL'!O61</f>
        <v>707925</v>
      </c>
      <c r="L289" s="96"/>
      <c r="M289" s="89">
        <v>1399910</v>
      </c>
      <c r="N289" s="107"/>
    </row>
    <row r="290" spans="1:14" ht="21">
      <c r="A290" s="72" t="s">
        <v>247</v>
      </c>
      <c r="C290" s="107"/>
      <c r="D290" s="107"/>
      <c r="E290" s="72"/>
      <c r="F290" s="72"/>
      <c r="G290" s="89"/>
      <c r="H290" s="96"/>
      <c r="I290" s="89"/>
      <c r="J290" s="96"/>
      <c r="K290" s="89"/>
      <c r="L290" s="96"/>
      <c r="M290" s="89"/>
      <c r="N290" s="107"/>
    </row>
    <row r="291" spans="1:13" ht="21">
      <c r="A291" s="72" t="s">
        <v>230</v>
      </c>
      <c r="G291" s="96">
        <v>4600001</v>
      </c>
      <c r="H291" s="96"/>
      <c r="I291" s="89">
        <v>8453047</v>
      </c>
      <c r="J291" s="96"/>
      <c r="K291" s="89">
        <v>4600000</v>
      </c>
      <c r="L291" s="96"/>
      <c r="M291" s="89">
        <v>8450000</v>
      </c>
    </row>
    <row r="292" spans="1:13" ht="21">
      <c r="A292" s="72" t="s">
        <v>248</v>
      </c>
      <c r="G292" s="96"/>
      <c r="H292" s="96"/>
      <c r="I292" s="96"/>
      <c r="J292" s="96"/>
      <c r="K292" s="89"/>
      <c r="L292" s="96"/>
      <c r="M292" s="96"/>
    </row>
    <row r="293" spans="1:13" ht="21">
      <c r="A293" s="72" t="s">
        <v>230</v>
      </c>
      <c r="G293" s="96">
        <v>-5808668</v>
      </c>
      <c r="H293" s="96"/>
      <c r="I293" s="96">
        <v>-7854845</v>
      </c>
      <c r="J293" s="96"/>
      <c r="K293" s="89">
        <v>-5800000</v>
      </c>
      <c r="L293" s="96"/>
      <c r="M293" s="96">
        <v>-7650000</v>
      </c>
    </row>
    <row r="294" spans="1:13" ht="21">
      <c r="A294" s="107" t="s">
        <v>182</v>
      </c>
      <c r="C294" s="107"/>
      <c r="D294" s="107"/>
      <c r="E294" s="72"/>
      <c r="F294" s="72"/>
      <c r="G294" s="96">
        <v>0</v>
      </c>
      <c r="H294" s="96"/>
      <c r="I294" s="96">
        <v>6617778</v>
      </c>
      <c r="J294" s="96"/>
      <c r="K294" s="96">
        <v>0</v>
      </c>
      <c r="L294" s="96"/>
      <c r="M294" s="96">
        <v>6617778</v>
      </c>
    </row>
    <row r="295" spans="1:13" ht="21">
      <c r="A295" s="107" t="s">
        <v>139</v>
      </c>
      <c r="C295" s="107"/>
      <c r="D295" s="107"/>
      <c r="E295" s="72"/>
      <c r="F295" s="72"/>
      <c r="G295" s="96">
        <v>-756733</v>
      </c>
      <c r="H295" s="96"/>
      <c r="I295" s="96">
        <v>-4666124</v>
      </c>
      <c r="J295" s="96"/>
      <c r="K295" s="96">
        <v>-614649</v>
      </c>
      <c r="L295" s="96"/>
      <c r="M295" s="96">
        <v>-437105</v>
      </c>
    </row>
    <row r="296" spans="1:13" ht="21">
      <c r="A296" s="107" t="s">
        <v>137</v>
      </c>
      <c r="C296" s="107"/>
      <c r="D296" s="107"/>
      <c r="E296" s="72"/>
      <c r="F296" s="72"/>
      <c r="G296" s="96">
        <v>-78880</v>
      </c>
      <c r="H296" s="96"/>
      <c r="I296" s="96">
        <v>-140592</v>
      </c>
      <c r="J296" s="96"/>
      <c r="K296" s="96">
        <v>-6327</v>
      </c>
      <c r="L296" s="96"/>
      <c r="M296" s="96">
        <v>-4153</v>
      </c>
    </row>
    <row r="297" spans="1:13" ht="21">
      <c r="A297" s="107" t="s">
        <v>169</v>
      </c>
      <c r="C297" s="107"/>
      <c r="D297" s="107"/>
      <c r="E297" s="72"/>
      <c r="F297" s="72"/>
      <c r="G297" s="96">
        <v>6991622</v>
      </c>
      <c r="H297" s="96"/>
      <c r="I297" s="96">
        <v>599230</v>
      </c>
      <c r="J297" s="96"/>
      <c r="K297" s="96">
        <v>6991622</v>
      </c>
      <c r="L297" s="96"/>
      <c r="M297" s="96">
        <v>599230</v>
      </c>
    </row>
    <row r="298" spans="1:13" ht="21">
      <c r="A298" s="107" t="s">
        <v>275</v>
      </c>
      <c r="C298" s="107"/>
      <c r="D298" s="107"/>
      <c r="E298" s="72"/>
      <c r="F298" s="72"/>
      <c r="G298" s="96">
        <v>-2000000</v>
      </c>
      <c r="H298" s="96"/>
      <c r="I298" s="96">
        <v>0</v>
      </c>
      <c r="J298" s="96"/>
      <c r="K298" s="96">
        <v>-2000000</v>
      </c>
      <c r="L298" s="96"/>
      <c r="M298" s="96">
        <v>0</v>
      </c>
    </row>
    <row r="299" spans="1:13" ht="21">
      <c r="A299" s="107" t="s">
        <v>235</v>
      </c>
      <c r="C299" s="107"/>
      <c r="D299" s="107"/>
      <c r="E299" s="72"/>
      <c r="F299" s="72"/>
      <c r="G299" s="96"/>
      <c r="H299" s="96"/>
      <c r="I299" s="96"/>
      <c r="J299" s="96"/>
      <c r="K299" s="96"/>
      <c r="L299" s="96"/>
      <c r="M299" s="96"/>
    </row>
    <row r="300" spans="1:13" ht="21">
      <c r="A300" s="107" t="s">
        <v>236</v>
      </c>
      <c r="C300" s="107"/>
      <c r="D300" s="107"/>
      <c r="E300" s="72"/>
      <c r="F300" s="72"/>
      <c r="G300" s="96">
        <v>-265562</v>
      </c>
      <c r="H300" s="96"/>
      <c r="I300" s="96">
        <v>-231937</v>
      </c>
      <c r="J300" s="96"/>
      <c r="K300" s="96">
        <v>0</v>
      </c>
      <c r="L300" s="96"/>
      <c r="M300" s="96">
        <v>0</v>
      </c>
    </row>
    <row r="301" spans="1:13" ht="21">
      <c r="A301" s="107" t="s">
        <v>53</v>
      </c>
      <c r="C301" s="107"/>
      <c r="D301" s="107"/>
      <c r="E301" s="72"/>
      <c r="F301" s="72"/>
      <c r="G301" s="96">
        <v>-2781671</v>
      </c>
      <c r="H301" s="96"/>
      <c r="I301" s="96">
        <v>-1699996</v>
      </c>
      <c r="J301" s="96"/>
      <c r="K301" s="96">
        <v>-2781671</v>
      </c>
      <c r="L301" s="96"/>
      <c r="M301" s="96">
        <v>-1699996</v>
      </c>
    </row>
    <row r="302" spans="1:13" ht="21">
      <c r="A302" s="107" t="s">
        <v>297</v>
      </c>
      <c r="C302" s="107"/>
      <c r="D302" s="107"/>
      <c r="E302" s="72"/>
      <c r="F302" s="72"/>
      <c r="G302" s="96">
        <v>-43811</v>
      </c>
      <c r="H302" s="96"/>
      <c r="I302" s="96">
        <v>-44024</v>
      </c>
      <c r="J302" s="96"/>
      <c r="K302" s="96">
        <v>0</v>
      </c>
      <c r="L302" s="96"/>
      <c r="M302" s="96">
        <v>0</v>
      </c>
    </row>
    <row r="303" spans="1:13" ht="21">
      <c r="A303" s="77" t="s">
        <v>301</v>
      </c>
      <c r="G303" s="95">
        <f>SUM(G289:G302)</f>
        <v>-143702</v>
      </c>
      <c r="H303" s="96"/>
      <c r="I303" s="95">
        <f>SUM(I289:I302)</f>
        <v>1032537</v>
      </c>
      <c r="J303" s="96"/>
      <c r="K303" s="95">
        <f>SUM(K289:K302)</f>
        <v>1096900</v>
      </c>
      <c r="L303" s="96"/>
      <c r="M303" s="95">
        <f>SUM(M289:M302)</f>
        <v>7275664</v>
      </c>
    </row>
    <row r="304" spans="1:13" ht="21">
      <c r="A304" s="72" t="s">
        <v>287</v>
      </c>
      <c r="G304" s="96">
        <f>G226+G266+G303</f>
        <v>1210736</v>
      </c>
      <c r="H304" s="96"/>
      <c r="I304" s="96">
        <f>I226+I266+I303</f>
        <v>-174281</v>
      </c>
      <c r="J304" s="96"/>
      <c r="K304" s="96">
        <f>K226+K266+K303</f>
        <v>320411</v>
      </c>
      <c r="L304" s="96"/>
      <c r="M304" s="96">
        <f>SUM(M226,M266,M303)</f>
        <v>-422729</v>
      </c>
    </row>
    <row r="305" spans="1:13" ht="21">
      <c r="A305" s="72" t="s">
        <v>261</v>
      </c>
      <c r="G305" s="89">
        <f>'BS&amp;PL'!I12</f>
        <v>3589576</v>
      </c>
      <c r="H305" s="89"/>
      <c r="I305" s="89">
        <v>3875733</v>
      </c>
      <c r="J305" s="89"/>
      <c r="K305" s="89">
        <f>'BS&amp;PL'!O12</f>
        <v>1567094</v>
      </c>
      <c r="L305" s="89"/>
      <c r="M305" s="89">
        <v>1520307</v>
      </c>
    </row>
    <row r="306" spans="1:13" ht="21.75" thickBot="1">
      <c r="A306" s="77" t="s">
        <v>262</v>
      </c>
      <c r="B306" s="77"/>
      <c r="G306" s="100">
        <f>SUM(G304:G305)</f>
        <v>4800312</v>
      </c>
      <c r="H306" s="96"/>
      <c r="I306" s="100">
        <f>SUM(I304:I305)</f>
        <v>3701452</v>
      </c>
      <c r="J306" s="96"/>
      <c r="K306" s="100">
        <f>SUM(K304:K305)</f>
        <v>1887505</v>
      </c>
      <c r="L306" s="96"/>
      <c r="M306" s="100">
        <f>SUM(M304:M305)</f>
        <v>1097578</v>
      </c>
    </row>
    <row r="307" spans="7:13" ht="21.75" thickTop="1">
      <c r="G307" s="96"/>
      <c r="H307" s="96"/>
      <c r="I307" s="96"/>
      <c r="J307" s="96"/>
      <c r="K307" s="96"/>
      <c r="L307" s="96"/>
      <c r="M307" s="96"/>
    </row>
    <row r="308" spans="1:13" ht="21">
      <c r="A308" s="72" t="s">
        <v>131</v>
      </c>
      <c r="G308" s="96"/>
      <c r="H308" s="96"/>
      <c r="I308" s="96"/>
      <c r="J308" s="96"/>
      <c r="K308" s="96"/>
      <c r="L308" s="96"/>
      <c r="M308" s="96"/>
    </row>
    <row r="309" spans="1:13" ht="21">
      <c r="A309" s="72" t="s">
        <v>132</v>
      </c>
      <c r="G309" s="96"/>
      <c r="H309" s="96"/>
      <c r="I309" s="96"/>
      <c r="J309" s="96"/>
      <c r="K309" s="96"/>
      <c r="L309" s="96"/>
      <c r="M309" s="96"/>
    </row>
    <row r="310" spans="2:13" ht="21">
      <c r="B310" s="72" t="s">
        <v>138</v>
      </c>
      <c r="G310" s="96">
        <v>42474</v>
      </c>
      <c r="H310" s="96"/>
      <c r="I310" s="96">
        <v>19689</v>
      </c>
      <c r="J310" s="96">
        <v>3366</v>
      </c>
      <c r="K310" s="96">
        <v>9631</v>
      </c>
      <c r="L310" s="96"/>
      <c r="M310" s="96">
        <v>6312</v>
      </c>
    </row>
    <row r="311" spans="2:13" ht="21">
      <c r="B311" s="72" t="s">
        <v>285</v>
      </c>
      <c r="G311" s="96">
        <v>-193275</v>
      </c>
      <c r="H311" s="96"/>
      <c r="I311" s="96">
        <v>19669</v>
      </c>
      <c r="J311" s="96"/>
      <c r="K311" s="96">
        <v>-63329</v>
      </c>
      <c r="L311" s="96"/>
      <c r="M311" s="96">
        <v>-28179</v>
      </c>
    </row>
    <row r="312" spans="2:13" ht="21">
      <c r="B312" s="72" t="s">
        <v>224</v>
      </c>
      <c r="G312" s="96">
        <v>-1517</v>
      </c>
      <c r="H312" s="96"/>
      <c r="I312" s="96">
        <v>-7656</v>
      </c>
      <c r="J312" s="96"/>
      <c r="K312" s="96">
        <v>-1517</v>
      </c>
      <c r="L312" s="96"/>
      <c r="M312" s="96">
        <v>-7656</v>
      </c>
    </row>
    <row r="313" spans="2:13" ht="21">
      <c r="B313" s="72" t="s">
        <v>274</v>
      </c>
      <c r="G313" s="96">
        <v>44263</v>
      </c>
      <c r="H313" s="96"/>
      <c r="I313" s="96">
        <v>81361</v>
      </c>
      <c r="J313" s="96">
        <v>13469</v>
      </c>
      <c r="K313" s="96">
        <v>9003</v>
      </c>
      <c r="L313" s="96"/>
      <c r="M313" s="96">
        <v>15637</v>
      </c>
    </row>
    <row r="314" spans="2:13" ht="21">
      <c r="B314" s="72" t="s">
        <v>198</v>
      </c>
      <c r="G314" s="96">
        <v>2000</v>
      </c>
      <c r="H314" s="96"/>
      <c r="I314" s="96">
        <v>0</v>
      </c>
      <c r="J314" s="96"/>
      <c r="K314" s="96">
        <v>0</v>
      </c>
      <c r="L314" s="96"/>
      <c r="M314" s="96">
        <v>0</v>
      </c>
    </row>
    <row r="315" spans="7:13" ht="21">
      <c r="G315" s="96"/>
      <c r="H315" s="96"/>
      <c r="I315" s="96"/>
      <c r="J315" s="96"/>
      <c r="K315" s="96"/>
      <c r="L315" s="96"/>
      <c r="M315" s="96"/>
    </row>
    <row r="316" spans="1:13" ht="21">
      <c r="A316" s="72" t="s">
        <v>40</v>
      </c>
      <c r="G316" s="96"/>
      <c r="H316" s="96"/>
      <c r="I316" s="96"/>
      <c r="J316" s="96"/>
      <c r="K316" s="96"/>
      <c r="L316" s="96"/>
      <c r="M316" s="96"/>
    </row>
    <row r="317" spans="7:13" ht="21">
      <c r="G317" s="96"/>
      <c r="H317" s="96"/>
      <c r="I317" s="96"/>
      <c r="J317" s="96"/>
      <c r="K317" s="96"/>
      <c r="L317" s="96"/>
      <c r="M317" s="96"/>
    </row>
    <row r="318" spans="7:13" ht="21">
      <c r="G318" s="96"/>
      <c r="H318" s="96"/>
      <c r="I318" s="96"/>
      <c r="J318" s="96"/>
      <c r="K318" s="96"/>
      <c r="L318" s="96"/>
      <c r="M318" s="96"/>
    </row>
    <row r="319" spans="5:13" s="158" customFormat="1" ht="23.25">
      <c r="E319" s="162"/>
      <c r="F319" s="162"/>
      <c r="G319" s="170"/>
      <c r="H319" s="171"/>
      <c r="I319" s="170"/>
      <c r="J319" s="171"/>
      <c r="K319" s="170"/>
      <c r="L319" s="170"/>
      <c r="M319" s="170">
        <v>14</v>
      </c>
    </row>
    <row r="323" ht="21">
      <c r="M323" s="72"/>
    </row>
  </sheetData>
  <sheetProtection/>
  <mergeCells count="12">
    <mergeCell ref="G206:J206"/>
    <mergeCell ref="K206:N206"/>
    <mergeCell ref="G245:J245"/>
    <mergeCell ref="K245:N245"/>
    <mergeCell ref="G285:J285"/>
    <mergeCell ref="K285:N285"/>
    <mergeCell ref="G86:J86"/>
    <mergeCell ref="K86:N86"/>
    <mergeCell ref="G128:J128"/>
    <mergeCell ref="K128:N128"/>
    <mergeCell ref="G167:J167"/>
    <mergeCell ref="K167:N167"/>
  </mergeCells>
  <printOptions/>
  <pageMargins left="0.71" right="0.17" top="0.78740157480315" bottom="0.196850393700787" header="0.196850393700787" footer="0.196850393700787"/>
  <pageSetup firstPageNumber="3" useFirstPageNumber="1" horizontalDpi="600" verticalDpi="600" orientation="portrait" paperSize="9" scale="95" r:id="rId1"/>
  <rowBreaks count="7" manualBreakCount="7">
    <brk id="41" max="255" man="1"/>
    <brk id="80" max="255" man="1"/>
    <brk id="122" max="255" man="1"/>
    <brk id="161" max="255" man="1"/>
    <brk id="200" max="255" man="1"/>
    <brk id="239" max="255" man="1"/>
    <brk id="2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26"/>
  <sheetViews>
    <sheetView showGridLines="0" view="pageBreakPreview" zoomScale="96" zoomScaleNormal="85" zoomScaleSheetLayoutView="96" zoomScalePageLayoutView="0" workbookViewId="0" topLeftCell="A1">
      <selection activeCell="B8" sqref="B8"/>
    </sheetView>
  </sheetViews>
  <sheetFormatPr defaultColWidth="8.00390625" defaultRowHeight="21.75"/>
  <cols>
    <col min="1" max="1" width="12.140625" style="56" customWidth="1"/>
    <col min="2" max="2" width="28.28125" style="56" customWidth="1"/>
    <col min="3" max="3" width="0.85546875" style="56" customWidth="1"/>
    <col min="4" max="4" width="12.28125" style="55" customWidth="1"/>
    <col min="5" max="5" width="0.5625" style="55" customWidth="1"/>
    <col min="6" max="6" width="13.421875" style="55" customWidth="1"/>
    <col min="7" max="7" width="0.5625" style="55" customWidth="1"/>
    <col min="8" max="8" width="11.00390625" style="55" bestFit="1" customWidth="1"/>
    <col min="9" max="9" width="0.5625" style="55" customWidth="1"/>
    <col min="10" max="10" width="12.00390625" style="55" customWidth="1"/>
    <col min="11" max="11" width="0.5625" style="55" customWidth="1"/>
    <col min="12" max="12" width="13.7109375" style="55" customWidth="1"/>
    <col min="13" max="13" width="0.5625" style="55" customWidth="1"/>
    <col min="14" max="14" width="13.28125" style="55" customWidth="1"/>
    <col min="15" max="15" width="0.5625" style="55" customWidth="1"/>
    <col min="16" max="16" width="12.7109375" style="55" customWidth="1"/>
    <col min="17" max="17" width="0.5625" style="55" customWidth="1"/>
    <col min="18" max="18" width="13.140625" style="55" customWidth="1"/>
    <col min="19" max="19" width="0.5625" style="55" customWidth="1"/>
    <col min="20" max="20" width="13.421875" style="55" customWidth="1"/>
    <col min="21" max="21" width="0.5625" style="55" customWidth="1"/>
    <col min="22" max="22" width="12.8515625" style="55" customWidth="1"/>
    <col min="23" max="23" width="0.5625" style="55" customWidth="1"/>
    <col min="24" max="24" width="12.8515625" style="55" customWidth="1"/>
    <col min="25" max="25" width="0.5625" style="55" customWidth="1"/>
    <col min="26" max="26" width="14.421875" style="55" customWidth="1"/>
    <col min="27" max="27" width="0.5625" style="55" customWidth="1"/>
    <col min="28" max="28" width="13.00390625" style="55" customWidth="1"/>
    <col min="29" max="29" width="0.85546875" style="55" customWidth="1"/>
    <col min="30" max="30" width="13.7109375" style="55" customWidth="1"/>
    <col min="31" max="31" width="0.9921875" style="55" customWidth="1"/>
    <col min="32" max="32" width="13.57421875" style="55" customWidth="1"/>
    <col min="33" max="33" width="2.140625" style="55" customWidth="1"/>
    <col min="34" max="34" width="13.00390625" style="55" customWidth="1"/>
    <col min="35" max="37" width="8.00390625" style="55" customWidth="1"/>
    <col min="38" max="16384" width="8.00390625" style="56" customWidth="1"/>
  </cols>
  <sheetData>
    <row r="1" spans="1:30" ht="18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6"/>
      <c r="AD1" s="60" t="s">
        <v>283</v>
      </c>
    </row>
    <row r="2" spans="1:28" ht="18.75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6"/>
    </row>
    <row r="3" spans="1:28" ht="18.75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8.75">
      <c r="A4" s="156" t="s">
        <v>307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4:37" s="57" customFormat="1" ht="18.75">
      <c r="D5" s="58"/>
      <c r="E5" s="59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C5" s="58"/>
      <c r="AD5" s="60" t="s">
        <v>255</v>
      </c>
      <c r="AE5" s="58"/>
      <c r="AG5" s="58"/>
      <c r="AI5" s="58"/>
      <c r="AJ5" s="58"/>
      <c r="AK5" s="58"/>
    </row>
    <row r="6" spans="3:34" ht="18.75">
      <c r="C6" s="57"/>
      <c r="D6" s="146" t="s">
        <v>33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G6" s="147"/>
      <c r="AH6" s="147"/>
    </row>
    <row r="7" spans="3:30" ht="18.75">
      <c r="C7" s="57"/>
      <c r="D7" s="192" t="s">
        <v>187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58"/>
      <c r="AB7" s="58"/>
      <c r="AC7" s="145"/>
      <c r="AD7" s="145"/>
    </row>
    <row r="8" spans="3:30" ht="18.75">
      <c r="C8" s="57"/>
      <c r="D8" s="59"/>
      <c r="E8" s="59"/>
      <c r="F8" s="59"/>
      <c r="G8" s="59"/>
      <c r="H8" s="57"/>
      <c r="I8" s="58"/>
      <c r="J8" s="58"/>
      <c r="K8" s="58"/>
      <c r="L8" s="58"/>
      <c r="M8" s="58"/>
      <c r="N8" s="193" t="s">
        <v>159</v>
      </c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73"/>
      <c r="Z8" s="58"/>
      <c r="AA8" s="58"/>
      <c r="AB8" s="58"/>
      <c r="AC8" s="58"/>
      <c r="AD8" s="58"/>
    </row>
    <row r="9" spans="3:28" ht="18.75" hidden="1">
      <c r="C9" s="57"/>
      <c r="D9" s="59"/>
      <c r="E9" s="59"/>
      <c r="F9" s="59"/>
      <c r="G9" s="59"/>
      <c r="H9" s="57"/>
      <c r="I9" s="58"/>
      <c r="J9" s="58"/>
      <c r="K9" s="58"/>
      <c r="L9" s="58"/>
      <c r="M9" s="58"/>
      <c r="N9" s="193" t="s">
        <v>165</v>
      </c>
      <c r="O9" s="193"/>
      <c r="P9" s="193"/>
      <c r="Q9" s="193"/>
      <c r="R9" s="193"/>
      <c r="S9" s="193"/>
      <c r="T9" s="193"/>
      <c r="U9" s="59"/>
      <c r="V9" s="59"/>
      <c r="W9" s="59"/>
      <c r="X9" s="59"/>
      <c r="Y9" s="59"/>
      <c r="Z9" s="59"/>
      <c r="AA9" s="59"/>
      <c r="AB9" s="59"/>
    </row>
    <row r="10" spans="3:37" ht="18.75">
      <c r="C10" s="57"/>
      <c r="D10" s="59"/>
      <c r="E10" s="59"/>
      <c r="F10" s="59"/>
      <c r="G10" s="59"/>
      <c r="H10" s="57"/>
      <c r="I10" s="58"/>
      <c r="J10" s="58"/>
      <c r="K10" s="58"/>
      <c r="L10" s="58"/>
      <c r="M10" s="58"/>
      <c r="N10" s="59" t="s">
        <v>286</v>
      </c>
      <c r="O10" s="59"/>
      <c r="P10" s="59"/>
      <c r="Q10" s="59"/>
      <c r="R10" s="59"/>
      <c r="S10" s="59"/>
      <c r="T10" s="64" t="s">
        <v>216</v>
      </c>
      <c r="U10" s="59"/>
      <c r="V10" s="59"/>
      <c r="W10" s="59"/>
      <c r="X10" s="59"/>
      <c r="Y10" s="59"/>
      <c r="Z10" s="59"/>
      <c r="AA10" s="58"/>
      <c r="AB10" s="58"/>
      <c r="AJ10" s="56"/>
      <c r="AK10" s="56"/>
    </row>
    <row r="11" spans="2:39" s="62" customFormat="1" ht="18.75">
      <c r="B11" s="63"/>
      <c r="C11" s="63"/>
      <c r="D11" s="59"/>
      <c r="E11" s="59"/>
      <c r="F11" s="58"/>
      <c r="G11" s="58"/>
      <c r="H11" s="58"/>
      <c r="I11" s="58"/>
      <c r="J11" s="193" t="s">
        <v>47</v>
      </c>
      <c r="K11" s="193"/>
      <c r="L11" s="193"/>
      <c r="N11" s="62" t="s">
        <v>241</v>
      </c>
      <c r="R11" s="62" t="s">
        <v>82</v>
      </c>
      <c r="S11" s="64"/>
      <c r="T11" s="64" t="s">
        <v>217</v>
      </c>
      <c r="U11" s="64"/>
      <c r="V11" s="64" t="s">
        <v>85</v>
      </c>
      <c r="W11" s="64"/>
      <c r="X11" s="64"/>
      <c r="Y11" s="64"/>
      <c r="Z11" s="64"/>
      <c r="AA11" s="59"/>
      <c r="AB11" s="64" t="s">
        <v>171</v>
      </c>
      <c r="AC11" s="59"/>
      <c r="AD11" s="64"/>
      <c r="AI11" s="64"/>
      <c r="AJ11" s="64"/>
      <c r="AK11" s="64"/>
      <c r="AL11" s="64"/>
      <c r="AM11" s="64"/>
    </row>
    <row r="12" spans="4:39" s="62" customFormat="1" ht="18.75">
      <c r="D12" s="64" t="s">
        <v>10</v>
      </c>
      <c r="E12" s="64"/>
      <c r="F12" s="64"/>
      <c r="G12" s="64"/>
      <c r="H12" s="64" t="s">
        <v>82</v>
      </c>
      <c r="I12" s="64"/>
      <c r="J12" s="64" t="s">
        <v>84</v>
      </c>
      <c r="K12" s="64"/>
      <c r="L12" s="64"/>
      <c r="N12" s="64" t="s">
        <v>67</v>
      </c>
      <c r="O12" s="64"/>
      <c r="P12" s="64" t="s">
        <v>38</v>
      </c>
      <c r="Q12" s="64"/>
      <c r="R12" s="62" t="s">
        <v>170</v>
      </c>
      <c r="S12" s="59"/>
      <c r="T12" s="64" t="s">
        <v>246</v>
      </c>
      <c r="U12" s="64"/>
      <c r="V12" s="64" t="s">
        <v>218</v>
      </c>
      <c r="W12" s="59"/>
      <c r="X12" s="64" t="s">
        <v>166</v>
      </c>
      <c r="Y12" s="59"/>
      <c r="Z12" s="64" t="s">
        <v>124</v>
      </c>
      <c r="AA12" s="64"/>
      <c r="AB12" s="64" t="s">
        <v>172</v>
      </c>
      <c r="AC12" s="64"/>
      <c r="AD12" s="64" t="s">
        <v>23</v>
      </c>
      <c r="AI12" s="64"/>
      <c r="AJ12" s="64"/>
      <c r="AK12" s="64"/>
      <c r="AL12" s="64"/>
      <c r="AM12" s="64"/>
    </row>
    <row r="13" spans="4:39" s="62" customFormat="1" ht="18.75">
      <c r="D13" s="64" t="s">
        <v>27</v>
      </c>
      <c r="E13" s="64"/>
      <c r="F13" s="64" t="s">
        <v>85</v>
      </c>
      <c r="G13" s="64"/>
      <c r="H13" s="64" t="s">
        <v>87</v>
      </c>
      <c r="I13" s="64"/>
      <c r="J13" s="64" t="s">
        <v>57</v>
      </c>
      <c r="K13" s="64"/>
      <c r="L13" s="64"/>
      <c r="N13" s="59" t="s">
        <v>242</v>
      </c>
      <c r="O13" s="64"/>
      <c r="P13" s="64" t="s">
        <v>86</v>
      </c>
      <c r="Q13" s="64"/>
      <c r="R13" s="59" t="s">
        <v>214</v>
      </c>
      <c r="S13" s="64"/>
      <c r="T13" s="64" t="s">
        <v>35</v>
      </c>
      <c r="U13" s="64"/>
      <c r="V13" s="64" t="s">
        <v>219</v>
      </c>
      <c r="W13" s="64"/>
      <c r="X13" s="64" t="s">
        <v>168</v>
      </c>
      <c r="Y13" s="64"/>
      <c r="Z13" s="64" t="s">
        <v>35</v>
      </c>
      <c r="AA13" s="64"/>
      <c r="AB13" s="64" t="s">
        <v>173</v>
      </c>
      <c r="AC13" s="64"/>
      <c r="AD13" s="62" t="s">
        <v>34</v>
      </c>
      <c r="AI13" s="64"/>
      <c r="AJ13" s="64"/>
      <c r="AK13" s="64"/>
      <c r="AL13" s="64"/>
      <c r="AM13" s="64"/>
    </row>
    <row r="14" spans="2:39" s="62" customFormat="1" ht="18.75">
      <c r="B14" s="52"/>
      <c r="D14" s="61" t="s">
        <v>28</v>
      </c>
      <c r="E14" s="64"/>
      <c r="F14" s="61" t="s">
        <v>89</v>
      </c>
      <c r="G14" s="64"/>
      <c r="H14" s="61" t="s">
        <v>90</v>
      </c>
      <c r="I14" s="64"/>
      <c r="J14" s="61" t="s">
        <v>56</v>
      </c>
      <c r="K14" s="59"/>
      <c r="L14" s="61" t="s">
        <v>21</v>
      </c>
      <c r="N14" s="129" t="s">
        <v>243</v>
      </c>
      <c r="O14" s="64"/>
      <c r="P14" s="61" t="s">
        <v>115</v>
      </c>
      <c r="Q14" s="59"/>
      <c r="R14" s="61" t="s">
        <v>215</v>
      </c>
      <c r="S14" s="64"/>
      <c r="T14" s="61" t="s">
        <v>202</v>
      </c>
      <c r="U14" s="59"/>
      <c r="V14" s="61" t="s">
        <v>220</v>
      </c>
      <c r="W14" s="64"/>
      <c r="X14" s="61" t="s">
        <v>167</v>
      </c>
      <c r="Y14" s="64"/>
      <c r="Z14" s="61" t="s">
        <v>188</v>
      </c>
      <c r="AA14" s="64"/>
      <c r="AB14" s="61" t="s">
        <v>96</v>
      </c>
      <c r="AC14" s="64"/>
      <c r="AD14" s="61" t="s">
        <v>35</v>
      </c>
      <c r="AI14" s="64"/>
      <c r="AJ14" s="64"/>
      <c r="AK14" s="64"/>
      <c r="AL14" s="64"/>
      <c r="AM14" s="64"/>
    </row>
    <row r="15" spans="1:39" s="50" customFormat="1" ht="18.75">
      <c r="A15" s="51" t="s">
        <v>204</v>
      </c>
      <c r="B15" s="51"/>
      <c r="C15" s="51"/>
      <c r="AI15" s="2"/>
      <c r="AJ15" s="2"/>
      <c r="AK15" s="2"/>
      <c r="AL15" s="2"/>
      <c r="AM15" s="2"/>
    </row>
    <row r="16" spans="1:39" s="50" customFormat="1" ht="18.75">
      <c r="A16" s="51" t="s">
        <v>320</v>
      </c>
      <c r="B16" s="51"/>
      <c r="C16" s="51"/>
      <c r="D16" s="53">
        <v>1545459</v>
      </c>
      <c r="E16" s="53"/>
      <c r="F16" s="53">
        <v>20022498</v>
      </c>
      <c r="G16" s="53"/>
      <c r="H16" s="53">
        <v>305000</v>
      </c>
      <c r="I16" s="49"/>
      <c r="J16" s="53">
        <v>155339</v>
      </c>
      <c r="K16" s="53"/>
      <c r="L16" s="53">
        <v>9003545</v>
      </c>
      <c r="M16" s="134"/>
      <c r="N16" s="53">
        <v>1372254</v>
      </c>
      <c r="O16" s="53"/>
      <c r="P16" s="53">
        <v>1955483</v>
      </c>
      <c r="Q16" s="53"/>
      <c r="R16" s="53">
        <v>-110056</v>
      </c>
      <c r="S16" s="49"/>
      <c r="T16" s="53">
        <v>86144</v>
      </c>
      <c r="U16" s="53"/>
      <c r="V16" s="53">
        <v>-2340474</v>
      </c>
      <c r="W16" s="49"/>
      <c r="X16" s="53">
        <f>SUM(N16:V16)</f>
        <v>963351</v>
      </c>
      <c r="Y16" s="49"/>
      <c r="Z16" s="53">
        <f>D16+F16+H16+J16+L16+X16</f>
        <v>31995192</v>
      </c>
      <c r="AA16" s="53"/>
      <c r="AB16" s="53">
        <v>1422037</v>
      </c>
      <c r="AC16" s="53"/>
      <c r="AD16" s="53">
        <f>SUM(Z16:AB16)</f>
        <v>33417229</v>
      </c>
      <c r="AI16" s="2"/>
      <c r="AJ16" s="2"/>
      <c r="AK16" s="2"/>
      <c r="AL16" s="2"/>
      <c r="AM16" s="2"/>
    </row>
    <row r="17" spans="1:39" s="50" customFormat="1" ht="18.75">
      <c r="A17" s="174" t="s">
        <v>237</v>
      </c>
      <c r="B17" s="51"/>
      <c r="C17" s="51"/>
      <c r="D17" s="53"/>
      <c r="E17" s="53"/>
      <c r="F17" s="53"/>
      <c r="G17" s="53"/>
      <c r="H17" s="53"/>
      <c r="I17" s="49"/>
      <c r="J17" s="53"/>
      <c r="K17" s="53"/>
      <c r="L17" s="53"/>
      <c r="M17" s="134"/>
      <c r="N17" s="53"/>
      <c r="O17" s="53"/>
      <c r="P17" s="53"/>
      <c r="Q17" s="53"/>
      <c r="R17" s="53"/>
      <c r="S17" s="49"/>
      <c r="T17" s="53"/>
      <c r="U17" s="53"/>
      <c r="V17" s="53"/>
      <c r="W17" s="49"/>
      <c r="X17" s="53"/>
      <c r="Y17" s="49"/>
      <c r="Z17" s="53"/>
      <c r="AA17" s="53"/>
      <c r="AB17" s="53"/>
      <c r="AC17" s="53"/>
      <c r="AD17" s="53"/>
      <c r="AI17" s="2"/>
      <c r="AJ17" s="2"/>
      <c r="AK17" s="2"/>
      <c r="AL17" s="2"/>
      <c r="AM17" s="2"/>
    </row>
    <row r="18" spans="1:39" s="50" customFormat="1" ht="18.75">
      <c r="A18" s="174" t="s">
        <v>291</v>
      </c>
      <c r="B18" s="51"/>
      <c r="C18" s="51"/>
      <c r="D18" s="175">
        <v>0</v>
      </c>
      <c r="E18" s="53"/>
      <c r="F18" s="175">
        <v>0</v>
      </c>
      <c r="G18" s="53"/>
      <c r="H18" s="175">
        <v>0</v>
      </c>
      <c r="I18" s="49"/>
      <c r="J18" s="175">
        <v>0</v>
      </c>
      <c r="K18" s="53"/>
      <c r="L18" s="175">
        <v>138395</v>
      </c>
      <c r="M18" s="134"/>
      <c r="N18" s="175">
        <v>-274470</v>
      </c>
      <c r="O18" s="53"/>
      <c r="P18" s="175">
        <v>-391263</v>
      </c>
      <c r="Q18" s="49"/>
      <c r="R18" s="175">
        <v>0</v>
      </c>
      <c r="S18" s="49"/>
      <c r="T18" s="175">
        <v>0</v>
      </c>
      <c r="U18" s="53"/>
      <c r="V18" s="175">
        <v>0</v>
      </c>
      <c r="W18" s="49"/>
      <c r="X18" s="175">
        <f>SUM(N18:V18)</f>
        <v>-665733</v>
      </c>
      <c r="Y18" s="49"/>
      <c r="Z18" s="175">
        <f>D18+F18+H18+J18+L18+X18</f>
        <v>-527338</v>
      </c>
      <c r="AA18" s="53"/>
      <c r="AB18" s="175">
        <v>1813</v>
      </c>
      <c r="AC18" s="53"/>
      <c r="AD18" s="175">
        <f>SUM(Z18:AB18)</f>
        <v>-525525</v>
      </c>
      <c r="AI18" s="2"/>
      <c r="AJ18" s="2"/>
      <c r="AK18" s="2"/>
      <c r="AL18" s="2"/>
      <c r="AM18" s="2"/>
    </row>
    <row r="19" spans="1:39" s="50" customFormat="1" ht="18.75">
      <c r="A19" s="51" t="s">
        <v>204</v>
      </c>
      <c r="B19" s="51"/>
      <c r="C19" s="51"/>
      <c r="D19" s="53"/>
      <c r="E19" s="53"/>
      <c r="F19" s="53"/>
      <c r="G19" s="53"/>
      <c r="H19" s="53"/>
      <c r="I19" s="49"/>
      <c r="J19" s="53"/>
      <c r="K19" s="53"/>
      <c r="L19" s="53"/>
      <c r="M19" s="134"/>
      <c r="N19" s="53"/>
      <c r="O19" s="53"/>
      <c r="P19" s="53"/>
      <c r="Q19" s="49"/>
      <c r="R19" s="53"/>
      <c r="S19" s="49"/>
      <c r="T19" s="53"/>
      <c r="U19" s="53"/>
      <c r="V19" s="53"/>
      <c r="W19" s="49"/>
      <c r="X19" s="53"/>
      <c r="Y19" s="49"/>
      <c r="Z19" s="53"/>
      <c r="AA19" s="53"/>
      <c r="AB19" s="53"/>
      <c r="AC19" s="53"/>
      <c r="AD19" s="53"/>
      <c r="AI19" s="2"/>
      <c r="AJ19" s="2"/>
      <c r="AK19" s="2"/>
      <c r="AL19" s="2"/>
      <c r="AM19" s="2"/>
    </row>
    <row r="20" spans="1:39" s="50" customFormat="1" ht="18.75">
      <c r="A20" s="51" t="s">
        <v>321</v>
      </c>
      <c r="B20" s="51"/>
      <c r="C20" s="51"/>
      <c r="D20" s="53">
        <f>SUM(D16:D18)</f>
        <v>1545459</v>
      </c>
      <c r="E20" s="53"/>
      <c r="F20" s="53">
        <f>SUM(F16:F18)</f>
        <v>20022498</v>
      </c>
      <c r="G20" s="53"/>
      <c r="H20" s="53">
        <f>SUM(H16:H18)</f>
        <v>305000</v>
      </c>
      <c r="I20" s="49"/>
      <c r="J20" s="53">
        <f>SUM(J16:J18)</f>
        <v>155339</v>
      </c>
      <c r="K20" s="53"/>
      <c r="L20" s="53">
        <f>SUM(L16:L18)</f>
        <v>9141940</v>
      </c>
      <c r="M20" s="134"/>
      <c r="N20" s="53">
        <f>SUM(N16:N18)</f>
        <v>1097784</v>
      </c>
      <c r="O20" s="53"/>
      <c r="P20" s="53">
        <f>SUM(P16:P18)</f>
        <v>1564220</v>
      </c>
      <c r="Q20" s="49"/>
      <c r="R20" s="53">
        <f>SUM(R16:R18)</f>
        <v>-110056</v>
      </c>
      <c r="S20" s="49"/>
      <c r="T20" s="53">
        <f>SUM(T16:T18)</f>
        <v>86144</v>
      </c>
      <c r="U20" s="53"/>
      <c r="V20" s="53">
        <f>SUM(V16:V18)</f>
        <v>-2340474</v>
      </c>
      <c r="W20" s="49"/>
      <c r="X20" s="53">
        <f>SUM(N20:V20)</f>
        <v>297618</v>
      </c>
      <c r="Y20" s="49"/>
      <c r="Z20" s="175">
        <f>D20+F20+H20+J20+L20+X20</f>
        <v>31467854</v>
      </c>
      <c r="AA20" s="53"/>
      <c r="AB20" s="53">
        <f>SUM(AB16:AB18)</f>
        <v>1423850</v>
      </c>
      <c r="AC20" s="53"/>
      <c r="AD20" s="175">
        <f>SUM(Z20:AB20)</f>
        <v>32891704</v>
      </c>
      <c r="AI20" s="2"/>
      <c r="AJ20" s="2"/>
      <c r="AK20" s="2"/>
      <c r="AL20" s="2"/>
      <c r="AM20" s="2"/>
    </row>
    <row r="21" spans="1:39" s="50" customFormat="1" ht="18.75">
      <c r="A21" s="50" t="s">
        <v>322</v>
      </c>
      <c r="B21" s="65"/>
      <c r="D21" s="130">
        <v>0</v>
      </c>
      <c r="E21" s="53"/>
      <c r="F21" s="130">
        <v>0</v>
      </c>
      <c r="G21" s="53"/>
      <c r="H21" s="130">
        <v>0</v>
      </c>
      <c r="I21" s="49"/>
      <c r="J21" s="130">
        <v>0</v>
      </c>
      <c r="K21" s="53"/>
      <c r="L21" s="130">
        <f>'PL-T'!I113</f>
        <v>6460055</v>
      </c>
      <c r="M21" s="134"/>
      <c r="N21" s="130">
        <v>0</v>
      </c>
      <c r="O21" s="53"/>
      <c r="P21" s="130">
        <v>0</v>
      </c>
      <c r="Q21" s="49"/>
      <c r="R21" s="130">
        <v>0</v>
      </c>
      <c r="S21" s="49"/>
      <c r="T21" s="130">
        <v>0</v>
      </c>
      <c r="U21" s="53"/>
      <c r="V21" s="130">
        <v>0</v>
      </c>
      <c r="W21" s="49"/>
      <c r="X21" s="130">
        <f>SUM(N21:W21)</f>
        <v>0</v>
      </c>
      <c r="Y21" s="49"/>
      <c r="Z21" s="130">
        <f>D21+F21+H21+J21+L21+X21</f>
        <v>6460055</v>
      </c>
      <c r="AA21" s="53"/>
      <c r="AB21" s="130">
        <f>'PL-T'!I114</f>
        <v>244962</v>
      </c>
      <c r="AC21" s="53"/>
      <c r="AD21" s="130">
        <f>SUM(Z21:AB21)</f>
        <v>6705017</v>
      </c>
      <c r="AI21" s="2"/>
      <c r="AJ21" s="2"/>
      <c r="AK21" s="2"/>
      <c r="AL21" s="2"/>
      <c r="AM21" s="2"/>
    </row>
    <row r="22" spans="1:39" s="50" customFormat="1" ht="18.75">
      <c r="A22" s="50" t="s">
        <v>323</v>
      </c>
      <c r="B22" s="65"/>
      <c r="D22" s="131">
        <v>0</v>
      </c>
      <c r="E22" s="53"/>
      <c r="F22" s="131">
        <v>0</v>
      </c>
      <c r="G22" s="53"/>
      <c r="H22" s="131">
        <v>0</v>
      </c>
      <c r="I22" s="53"/>
      <c r="J22" s="131">
        <v>0</v>
      </c>
      <c r="K22" s="53"/>
      <c r="L22" s="131">
        <v>0</v>
      </c>
      <c r="M22" s="69"/>
      <c r="N22" s="131">
        <v>-1080322</v>
      </c>
      <c r="O22" s="53"/>
      <c r="P22" s="131">
        <v>0</v>
      </c>
      <c r="Q22" s="53"/>
      <c r="R22" s="131">
        <v>-27339</v>
      </c>
      <c r="S22" s="53"/>
      <c r="T22" s="131">
        <v>122116</v>
      </c>
      <c r="U22" s="53"/>
      <c r="V22" s="131">
        <v>0</v>
      </c>
      <c r="W22" s="53"/>
      <c r="X22" s="131">
        <f>SUM(N22:V22)</f>
        <v>-985545</v>
      </c>
      <c r="Y22" s="53"/>
      <c r="Z22" s="131">
        <f>D22+F22+H22+J22+L22+X22</f>
        <v>-985545</v>
      </c>
      <c r="AA22" s="53"/>
      <c r="AB22" s="131">
        <v>-576</v>
      </c>
      <c r="AC22" s="53"/>
      <c r="AD22" s="131">
        <f>SUM(Z22:AB22)</f>
        <v>-986121</v>
      </c>
      <c r="AI22" s="2"/>
      <c r="AJ22" s="2"/>
      <c r="AK22" s="2"/>
      <c r="AL22" s="2"/>
      <c r="AM22" s="2"/>
    </row>
    <row r="23" spans="1:39" s="50" customFormat="1" ht="18.75">
      <c r="A23" s="50" t="s">
        <v>324</v>
      </c>
      <c r="B23" s="65"/>
      <c r="D23" s="139">
        <f>SUM(D21:D22)</f>
        <v>0</v>
      </c>
      <c r="E23" s="53"/>
      <c r="F23" s="139">
        <f>SUM(F21:F22)</f>
        <v>0</v>
      </c>
      <c r="G23" s="53"/>
      <c r="H23" s="139">
        <f>SUM(H21:H22)</f>
        <v>0</v>
      </c>
      <c r="I23" s="53"/>
      <c r="J23" s="139">
        <f>SUM(J21:J22)</f>
        <v>0</v>
      </c>
      <c r="K23" s="53"/>
      <c r="L23" s="139">
        <f>SUM(L21:L22)</f>
        <v>6460055</v>
      </c>
      <c r="M23" s="69"/>
      <c r="N23" s="139">
        <f>SUM(N21:N22)</f>
        <v>-1080322</v>
      </c>
      <c r="O23" s="53"/>
      <c r="P23" s="139">
        <f>SUM(P21:P22)</f>
        <v>0</v>
      </c>
      <c r="Q23" s="53"/>
      <c r="R23" s="139">
        <f>SUM(R21:R22)</f>
        <v>-27339</v>
      </c>
      <c r="S23" s="53"/>
      <c r="T23" s="139">
        <f>SUM(T21:T22)</f>
        <v>122116</v>
      </c>
      <c r="U23" s="53"/>
      <c r="V23" s="139">
        <f>SUM(V21:V22)</f>
        <v>0</v>
      </c>
      <c r="W23" s="53"/>
      <c r="X23" s="139">
        <f>SUM(X21:X22)</f>
        <v>-985545</v>
      </c>
      <c r="Y23" s="53"/>
      <c r="Z23" s="139">
        <f>SUM(Z21:Z22)</f>
        <v>5474510</v>
      </c>
      <c r="AA23" s="53"/>
      <c r="AB23" s="139">
        <f>SUM(AB21:AB22)</f>
        <v>244386</v>
      </c>
      <c r="AC23" s="53"/>
      <c r="AD23" s="139">
        <f>SUM(AD21:AD22)</f>
        <v>5718896</v>
      </c>
      <c r="AI23" s="2"/>
      <c r="AJ23" s="2"/>
      <c r="AK23" s="2"/>
      <c r="AL23" s="2"/>
      <c r="AM23" s="2"/>
    </row>
    <row r="24" spans="1:39" s="50" customFormat="1" ht="18.75">
      <c r="A24" s="50" t="s">
        <v>298</v>
      </c>
      <c r="B24" s="65"/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-1699996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/>
      <c r="V24" s="53">
        <v>0</v>
      </c>
      <c r="W24" s="49"/>
      <c r="X24" s="53">
        <f>SUM(N24:W24)</f>
        <v>0</v>
      </c>
      <c r="Y24" s="49"/>
      <c r="Z24" s="53">
        <f>D24+F24+H24+J24+L24+X24</f>
        <v>-1699996</v>
      </c>
      <c r="AA24" s="53"/>
      <c r="AB24" s="53">
        <v>0</v>
      </c>
      <c r="AC24" s="53"/>
      <c r="AD24" s="53">
        <f>SUM(Z24:AB24)</f>
        <v>-1699996</v>
      </c>
      <c r="AI24" s="2"/>
      <c r="AJ24" s="2"/>
      <c r="AK24" s="2"/>
      <c r="AL24" s="2"/>
      <c r="AM24" s="2"/>
    </row>
    <row r="25" spans="1:39" s="50" customFormat="1" ht="18.75">
      <c r="A25" s="50" t="s">
        <v>225</v>
      </c>
      <c r="B25" s="65"/>
      <c r="D25" s="53"/>
      <c r="E25" s="53"/>
      <c r="F25" s="53"/>
      <c r="G25" s="53"/>
      <c r="H25" s="53"/>
      <c r="I25" s="53"/>
      <c r="J25" s="53"/>
      <c r="K25" s="53"/>
      <c r="L25" s="53"/>
      <c r="M25" s="69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I25" s="2"/>
      <c r="AJ25" s="2"/>
      <c r="AK25" s="2"/>
      <c r="AL25" s="2"/>
      <c r="AM25" s="2"/>
    </row>
    <row r="26" spans="1:39" s="50" customFormat="1" ht="18.75">
      <c r="A26" s="50" t="s">
        <v>226</v>
      </c>
      <c r="B26" s="65"/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-3891</v>
      </c>
      <c r="U26" s="53"/>
      <c r="V26" s="53">
        <v>0</v>
      </c>
      <c r="W26" s="49"/>
      <c r="X26" s="53">
        <f>SUM(N26:W26)</f>
        <v>-3891</v>
      </c>
      <c r="Y26" s="49"/>
      <c r="Z26" s="53">
        <f>D26+F26+H26+J26+L26+X26</f>
        <v>-3891</v>
      </c>
      <c r="AA26" s="53"/>
      <c r="AB26" s="53">
        <v>0</v>
      </c>
      <c r="AC26" s="53"/>
      <c r="AD26" s="53">
        <f>SUM(Z26:AB26)</f>
        <v>-3891</v>
      </c>
      <c r="AI26" s="2"/>
      <c r="AJ26" s="2"/>
      <c r="AK26" s="2"/>
      <c r="AL26" s="2"/>
      <c r="AM26" s="2"/>
    </row>
    <row r="27" spans="1:39" s="70" customFormat="1" ht="18.75">
      <c r="A27" s="70" t="s">
        <v>244</v>
      </c>
      <c r="B27" s="140"/>
      <c r="D27" s="53"/>
      <c r="E27" s="53"/>
      <c r="F27" s="53"/>
      <c r="G27" s="53"/>
      <c r="H27" s="53"/>
      <c r="I27" s="53"/>
      <c r="J27" s="53"/>
      <c r="K27" s="53"/>
      <c r="L27" s="53"/>
      <c r="M27" s="69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I27" s="141"/>
      <c r="AJ27" s="141"/>
      <c r="AK27" s="141"/>
      <c r="AL27" s="141"/>
      <c r="AM27" s="141"/>
    </row>
    <row r="28" spans="1:39" s="70" customFormat="1" ht="18.75">
      <c r="A28" s="50" t="s">
        <v>245</v>
      </c>
      <c r="B28" s="140"/>
      <c r="D28" s="53"/>
      <c r="E28" s="53"/>
      <c r="F28" s="53"/>
      <c r="G28" s="53"/>
      <c r="H28" s="53"/>
      <c r="I28" s="53"/>
      <c r="J28" s="53"/>
      <c r="K28" s="53"/>
      <c r="L28" s="53"/>
      <c r="M28" s="69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I28" s="141"/>
      <c r="AJ28" s="141"/>
      <c r="AK28" s="141"/>
      <c r="AL28" s="141"/>
      <c r="AM28" s="141"/>
    </row>
    <row r="29" spans="1:39" s="50" customFormat="1" ht="18.75">
      <c r="A29" s="50" t="s">
        <v>238</v>
      </c>
      <c r="B29" s="65"/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/>
      <c r="V29" s="53">
        <v>-134596</v>
      </c>
      <c r="W29" s="49"/>
      <c r="X29" s="53">
        <f>SUM(N29:W29)</f>
        <v>-134596</v>
      </c>
      <c r="Y29" s="49"/>
      <c r="Z29" s="53">
        <f>D29+F29+H29+J29+L29+X29</f>
        <v>-134596</v>
      </c>
      <c r="AA29" s="53"/>
      <c r="AB29" s="53">
        <v>-97341</v>
      </c>
      <c r="AC29" s="53"/>
      <c r="AD29" s="53">
        <f>SUM(Z29:AB29)</f>
        <v>-231937</v>
      </c>
      <c r="AI29" s="2"/>
      <c r="AJ29" s="2"/>
      <c r="AK29" s="2"/>
      <c r="AL29" s="2"/>
      <c r="AM29" s="2"/>
    </row>
    <row r="30" spans="1:39" s="50" customFormat="1" ht="18.75">
      <c r="A30" s="50" t="s">
        <v>239</v>
      </c>
      <c r="B30" s="65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49"/>
      <c r="X30" s="53"/>
      <c r="Y30" s="49"/>
      <c r="Z30" s="53"/>
      <c r="AA30" s="53"/>
      <c r="AB30" s="53"/>
      <c r="AC30" s="53"/>
      <c r="AD30" s="53"/>
      <c r="AI30" s="2"/>
      <c r="AJ30" s="2"/>
      <c r="AK30" s="2"/>
      <c r="AL30" s="2"/>
      <c r="AM30" s="2"/>
    </row>
    <row r="31" spans="1:39" s="50" customFormat="1" ht="18.75">
      <c r="A31" s="50" t="s">
        <v>240</v>
      </c>
      <c r="B31" s="65"/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49">
        <v>0</v>
      </c>
      <c r="J31" s="53">
        <v>0</v>
      </c>
      <c r="K31" s="53">
        <v>0</v>
      </c>
      <c r="L31" s="53">
        <v>0</v>
      </c>
      <c r="M31" s="134">
        <v>0</v>
      </c>
      <c r="N31" s="53">
        <v>0</v>
      </c>
      <c r="O31" s="53">
        <v>0</v>
      </c>
      <c r="P31" s="53">
        <v>0</v>
      </c>
      <c r="Q31" s="49">
        <v>0</v>
      </c>
      <c r="R31" s="53">
        <v>0</v>
      </c>
      <c r="S31" s="49">
        <v>0</v>
      </c>
      <c r="T31" s="53">
        <v>0</v>
      </c>
      <c r="U31" s="53"/>
      <c r="V31" s="53">
        <v>0</v>
      </c>
      <c r="W31" s="49"/>
      <c r="X31" s="53">
        <f>SUM(N31:W31)</f>
        <v>0</v>
      </c>
      <c r="Y31" s="49"/>
      <c r="Z31" s="53">
        <f>D31+F31+H31+J31+L31+X31</f>
        <v>0</v>
      </c>
      <c r="AA31" s="53"/>
      <c r="AB31" s="53">
        <v>-44024</v>
      </c>
      <c r="AC31" s="66"/>
      <c r="AD31" s="53">
        <f>SUM(Z31:AB31)</f>
        <v>-44024</v>
      </c>
      <c r="AI31" s="2"/>
      <c r="AJ31" s="2"/>
      <c r="AK31" s="2"/>
      <c r="AL31" s="2"/>
      <c r="AM31" s="2"/>
    </row>
    <row r="32" spans="1:39" s="50" customFormat="1" ht="19.5" thickBot="1">
      <c r="A32" s="51" t="s">
        <v>308</v>
      </c>
      <c r="B32" s="51"/>
      <c r="C32" s="51"/>
      <c r="D32" s="67">
        <f>SUM(D20,D23:D31)</f>
        <v>1545459</v>
      </c>
      <c r="E32" s="53"/>
      <c r="F32" s="67">
        <f>SUM(F20,F23:F31)</f>
        <v>20022498</v>
      </c>
      <c r="G32" s="53"/>
      <c r="H32" s="67">
        <f>SUM(H20,H23:H31)</f>
        <v>305000</v>
      </c>
      <c r="I32" s="49"/>
      <c r="J32" s="67">
        <f>SUM(J20,J23:J31)</f>
        <v>155339</v>
      </c>
      <c r="K32" s="53"/>
      <c r="L32" s="67">
        <f>SUM(L20,L23:L31)</f>
        <v>13901999</v>
      </c>
      <c r="M32" s="134"/>
      <c r="N32" s="67">
        <f>SUM(N20,N23:N31)</f>
        <v>17462</v>
      </c>
      <c r="O32" s="53"/>
      <c r="P32" s="67">
        <f>SUM(P20,P23:P31)</f>
        <v>1564220</v>
      </c>
      <c r="Q32" s="53"/>
      <c r="R32" s="67">
        <f>SUM(R20,R23:R31)</f>
        <v>-137395</v>
      </c>
      <c r="S32" s="49"/>
      <c r="T32" s="67">
        <f>SUM(T20,T23:T31)</f>
        <v>204369</v>
      </c>
      <c r="U32" s="53"/>
      <c r="V32" s="67">
        <f>SUM(V20,V23:V31)</f>
        <v>-2475070</v>
      </c>
      <c r="W32" s="49"/>
      <c r="X32" s="67">
        <f>SUM(X20,X23:X31)</f>
        <v>-826414</v>
      </c>
      <c r="Y32" s="49"/>
      <c r="Z32" s="67">
        <f>SUM(Z20,Z23:Z31)</f>
        <v>35103881</v>
      </c>
      <c r="AA32" s="53"/>
      <c r="AB32" s="67">
        <f>SUM(AB20,AB23:AB31)</f>
        <v>1526871</v>
      </c>
      <c r="AC32" s="53"/>
      <c r="AD32" s="67">
        <f>SUM(AD20,AD23:AD31)</f>
        <v>36630752</v>
      </c>
      <c r="AI32" s="2"/>
      <c r="AJ32" s="2"/>
      <c r="AK32" s="2"/>
      <c r="AL32" s="2"/>
      <c r="AM32" s="2"/>
    </row>
    <row r="33" spans="2:29" ht="19.5" thickTop="1">
      <c r="B33" s="55"/>
      <c r="C33" s="55"/>
      <c r="AC33" s="58"/>
    </row>
    <row r="34" spans="1:32" ht="18.75">
      <c r="A34" s="50" t="s">
        <v>40</v>
      </c>
      <c r="B34" s="55"/>
      <c r="C34" s="55"/>
      <c r="AC34" s="58"/>
      <c r="AF34" s="56"/>
    </row>
    <row r="35" spans="1:29" ht="18.75">
      <c r="A35" s="50"/>
      <c r="B35" s="55"/>
      <c r="C35" s="55"/>
      <c r="AC35" s="58"/>
    </row>
    <row r="36" spans="1:29" ht="18.75">
      <c r="A36" s="50"/>
      <c r="B36" s="55"/>
      <c r="C36" s="55"/>
      <c r="AC36" s="58"/>
    </row>
    <row r="37" spans="1:29" ht="18.75">
      <c r="A37" s="50"/>
      <c r="B37" s="55"/>
      <c r="C37" s="55"/>
      <c r="AC37" s="58"/>
    </row>
    <row r="38" spans="1:29" ht="18.75">
      <c r="A38" s="50"/>
      <c r="B38" s="55"/>
      <c r="C38" s="55"/>
      <c r="AC38" s="58"/>
    </row>
    <row r="39" spans="1:29" ht="18.75">
      <c r="A39" s="50"/>
      <c r="B39" s="55"/>
      <c r="C39" s="55"/>
      <c r="AC39" s="58"/>
    </row>
    <row r="40" spans="1:29" ht="18.75">
      <c r="A40" s="50"/>
      <c r="B40" s="55"/>
      <c r="C40" s="55"/>
      <c r="AC40" s="58"/>
    </row>
    <row r="41" spans="1:29" ht="18.75">
      <c r="A41" s="50"/>
      <c r="B41" s="55"/>
      <c r="C41" s="55"/>
      <c r="AC41" s="58"/>
    </row>
    <row r="42" spans="1:37" s="169" customFormat="1" ht="26.25">
      <c r="A42" s="166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8"/>
      <c r="AD42" s="187">
        <v>8</v>
      </c>
      <c r="AE42" s="167"/>
      <c r="AF42" s="167"/>
      <c r="AG42" s="167"/>
      <c r="AH42" s="167"/>
      <c r="AI42" s="167"/>
      <c r="AJ42" s="167"/>
      <c r="AK42" s="167"/>
    </row>
    <row r="43" spans="1:30" ht="18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6"/>
      <c r="AD43" s="60" t="s">
        <v>283</v>
      </c>
    </row>
    <row r="44" spans="1:28" ht="18.75">
      <c r="A44" s="54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6"/>
    </row>
    <row r="45" spans="1:28" ht="18.75">
      <c r="A45" s="54" t="s">
        <v>30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</row>
    <row r="46" spans="1:28" ht="18.75">
      <c r="A46" s="156" t="s">
        <v>306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</row>
    <row r="47" spans="4:37" s="57" customFormat="1" ht="18.75">
      <c r="D47" s="58"/>
      <c r="E47" s="5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C47" s="58"/>
      <c r="AD47" s="60" t="s">
        <v>255</v>
      </c>
      <c r="AE47" s="58"/>
      <c r="AG47" s="58"/>
      <c r="AI47" s="58"/>
      <c r="AJ47" s="58"/>
      <c r="AK47" s="58"/>
    </row>
    <row r="48" spans="3:34" ht="18.75">
      <c r="C48" s="57"/>
      <c r="D48" s="146" t="s">
        <v>33</v>
      </c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G48" s="147"/>
      <c r="AH48" s="147"/>
    </row>
    <row r="49" spans="3:30" ht="18.75">
      <c r="C49" s="57"/>
      <c r="D49" s="192" t="s">
        <v>187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58"/>
      <c r="AB49" s="58"/>
      <c r="AC49" s="145"/>
      <c r="AD49" s="145"/>
    </row>
    <row r="50" spans="3:30" ht="18.75">
      <c r="C50" s="57"/>
      <c r="D50" s="59"/>
      <c r="E50" s="59"/>
      <c r="F50" s="59"/>
      <c r="G50" s="59"/>
      <c r="H50" s="57"/>
      <c r="I50" s="58"/>
      <c r="J50" s="58"/>
      <c r="K50" s="58"/>
      <c r="L50" s="58"/>
      <c r="M50" s="58"/>
      <c r="N50" s="193" t="s">
        <v>159</v>
      </c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73"/>
      <c r="Z50" s="58"/>
      <c r="AA50" s="58"/>
      <c r="AB50" s="58"/>
      <c r="AC50" s="58"/>
      <c r="AD50" s="58"/>
    </row>
    <row r="51" spans="3:28" ht="18.75" hidden="1">
      <c r="C51" s="57"/>
      <c r="D51" s="59"/>
      <c r="E51" s="59"/>
      <c r="F51" s="59"/>
      <c r="G51" s="59"/>
      <c r="H51" s="57"/>
      <c r="I51" s="58"/>
      <c r="J51" s="58"/>
      <c r="K51" s="58"/>
      <c r="L51" s="58"/>
      <c r="M51" s="58"/>
      <c r="N51" s="193" t="s">
        <v>165</v>
      </c>
      <c r="O51" s="193"/>
      <c r="P51" s="193"/>
      <c r="Q51" s="193"/>
      <c r="R51" s="193"/>
      <c r="S51" s="193"/>
      <c r="T51" s="193"/>
      <c r="U51" s="59"/>
      <c r="V51" s="59"/>
      <c r="W51" s="59"/>
      <c r="X51" s="59"/>
      <c r="Y51" s="59"/>
      <c r="Z51" s="59"/>
      <c r="AA51" s="59"/>
      <c r="AB51" s="59"/>
    </row>
    <row r="52" spans="3:37" ht="18.75">
      <c r="C52" s="57"/>
      <c r="D52" s="59"/>
      <c r="E52" s="59"/>
      <c r="F52" s="59"/>
      <c r="G52" s="59"/>
      <c r="H52" s="57"/>
      <c r="I52" s="58"/>
      <c r="J52" s="58"/>
      <c r="K52" s="58"/>
      <c r="L52" s="58"/>
      <c r="M52" s="58"/>
      <c r="N52" s="59" t="s">
        <v>286</v>
      </c>
      <c r="O52" s="59"/>
      <c r="P52" s="59"/>
      <c r="Q52" s="59"/>
      <c r="R52" s="59"/>
      <c r="S52" s="59"/>
      <c r="T52" s="64" t="s">
        <v>216</v>
      </c>
      <c r="U52" s="59"/>
      <c r="V52" s="59"/>
      <c r="W52" s="59"/>
      <c r="X52" s="59"/>
      <c r="Y52" s="59"/>
      <c r="Z52" s="59"/>
      <c r="AJ52" s="56"/>
      <c r="AK52" s="56"/>
    </row>
    <row r="53" spans="2:39" s="62" customFormat="1" ht="18.75">
      <c r="B53" s="63"/>
      <c r="C53" s="63"/>
      <c r="D53" s="59"/>
      <c r="E53" s="59"/>
      <c r="F53" s="58"/>
      <c r="G53" s="58"/>
      <c r="H53" s="58"/>
      <c r="I53" s="58"/>
      <c r="J53" s="193" t="s">
        <v>47</v>
      </c>
      <c r="K53" s="193"/>
      <c r="L53" s="193"/>
      <c r="N53" s="62" t="s">
        <v>241</v>
      </c>
      <c r="R53" s="62" t="s">
        <v>82</v>
      </c>
      <c r="S53" s="64"/>
      <c r="T53" s="64" t="s">
        <v>217</v>
      </c>
      <c r="U53" s="64"/>
      <c r="V53" s="64" t="s">
        <v>85</v>
      </c>
      <c r="W53" s="64"/>
      <c r="X53" s="64"/>
      <c r="Y53" s="64"/>
      <c r="Z53" s="64"/>
      <c r="AA53" s="59"/>
      <c r="AB53" s="64" t="s">
        <v>171</v>
      </c>
      <c r="AC53" s="59"/>
      <c r="AD53" s="64"/>
      <c r="AI53" s="64"/>
      <c r="AJ53" s="64"/>
      <c r="AK53" s="64"/>
      <c r="AL53" s="64"/>
      <c r="AM53" s="64"/>
    </row>
    <row r="54" spans="4:39" s="62" customFormat="1" ht="18.75">
      <c r="D54" s="64" t="s">
        <v>10</v>
      </c>
      <c r="E54" s="64"/>
      <c r="F54" s="64"/>
      <c r="G54" s="64"/>
      <c r="H54" s="64" t="s">
        <v>82</v>
      </c>
      <c r="I54" s="64"/>
      <c r="J54" s="64" t="s">
        <v>84</v>
      </c>
      <c r="K54" s="64"/>
      <c r="L54" s="64"/>
      <c r="N54" s="64" t="s">
        <v>67</v>
      </c>
      <c r="O54" s="64"/>
      <c r="P54" s="64" t="s">
        <v>38</v>
      </c>
      <c r="Q54" s="64"/>
      <c r="R54" s="62" t="s">
        <v>170</v>
      </c>
      <c r="S54" s="59"/>
      <c r="T54" s="64" t="s">
        <v>246</v>
      </c>
      <c r="U54" s="64"/>
      <c r="V54" s="64" t="s">
        <v>218</v>
      </c>
      <c r="W54" s="59"/>
      <c r="X54" s="64" t="s">
        <v>166</v>
      </c>
      <c r="Y54" s="59"/>
      <c r="Z54" s="64" t="s">
        <v>124</v>
      </c>
      <c r="AA54" s="64"/>
      <c r="AB54" s="64" t="s">
        <v>172</v>
      </c>
      <c r="AC54" s="64"/>
      <c r="AD54" s="64" t="s">
        <v>23</v>
      </c>
      <c r="AI54" s="64"/>
      <c r="AJ54" s="64"/>
      <c r="AK54" s="64"/>
      <c r="AL54" s="64"/>
      <c r="AM54" s="64"/>
    </row>
    <row r="55" spans="4:39" s="62" customFormat="1" ht="18.75">
      <c r="D55" s="64" t="s">
        <v>27</v>
      </c>
      <c r="E55" s="64"/>
      <c r="F55" s="64" t="s">
        <v>85</v>
      </c>
      <c r="G55" s="64"/>
      <c r="H55" s="64" t="s">
        <v>87</v>
      </c>
      <c r="I55" s="64"/>
      <c r="J55" s="64" t="s">
        <v>57</v>
      </c>
      <c r="K55" s="64"/>
      <c r="L55" s="64"/>
      <c r="N55" s="59" t="s">
        <v>242</v>
      </c>
      <c r="O55" s="64"/>
      <c r="P55" s="64" t="s">
        <v>86</v>
      </c>
      <c r="Q55" s="64"/>
      <c r="R55" s="59" t="s">
        <v>214</v>
      </c>
      <c r="S55" s="64"/>
      <c r="T55" s="64" t="s">
        <v>35</v>
      </c>
      <c r="U55" s="64"/>
      <c r="V55" s="64" t="s">
        <v>219</v>
      </c>
      <c r="W55" s="64"/>
      <c r="X55" s="64" t="s">
        <v>168</v>
      </c>
      <c r="Y55" s="64"/>
      <c r="Z55" s="64" t="s">
        <v>35</v>
      </c>
      <c r="AA55" s="64"/>
      <c r="AB55" s="64" t="s">
        <v>173</v>
      </c>
      <c r="AC55" s="64"/>
      <c r="AD55" s="62" t="s">
        <v>34</v>
      </c>
      <c r="AI55" s="64"/>
      <c r="AJ55" s="64"/>
      <c r="AK55" s="64"/>
      <c r="AL55" s="64"/>
      <c r="AM55" s="64"/>
    </row>
    <row r="56" spans="2:39" s="62" customFormat="1" ht="18.75">
      <c r="B56" s="52"/>
      <c r="D56" s="61" t="s">
        <v>28</v>
      </c>
      <c r="E56" s="64"/>
      <c r="F56" s="61" t="s">
        <v>89</v>
      </c>
      <c r="G56" s="64"/>
      <c r="H56" s="61" t="s">
        <v>90</v>
      </c>
      <c r="I56" s="64"/>
      <c r="J56" s="61" t="s">
        <v>56</v>
      </c>
      <c r="K56" s="59"/>
      <c r="L56" s="61" t="s">
        <v>21</v>
      </c>
      <c r="N56" s="129" t="s">
        <v>243</v>
      </c>
      <c r="O56" s="64"/>
      <c r="P56" s="61" t="s">
        <v>115</v>
      </c>
      <c r="Q56" s="59"/>
      <c r="R56" s="61" t="s">
        <v>215</v>
      </c>
      <c r="S56" s="64"/>
      <c r="T56" s="61" t="s">
        <v>202</v>
      </c>
      <c r="U56" s="59"/>
      <c r="V56" s="61" t="s">
        <v>220</v>
      </c>
      <c r="W56" s="64"/>
      <c r="X56" s="61" t="s">
        <v>167</v>
      </c>
      <c r="Y56" s="64"/>
      <c r="Z56" s="61" t="s">
        <v>188</v>
      </c>
      <c r="AA56" s="64"/>
      <c r="AB56" s="61" t="s">
        <v>96</v>
      </c>
      <c r="AC56" s="64"/>
      <c r="AD56" s="61" t="s">
        <v>35</v>
      </c>
      <c r="AI56" s="64"/>
      <c r="AJ56" s="64"/>
      <c r="AK56" s="64"/>
      <c r="AL56" s="64"/>
      <c r="AM56" s="64"/>
    </row>
    <row r="57" spans="1:39" s="50" customFormat="1" ht="18.75">
      <c r="A57" s="51" t="s">
        <v>222</v>
      </c>
      <c r="B57" s="51"/>
      <c r="C57" s="51"/>
      <c r="AI57" s="2"/>
      <c r="AJ57" s="2"/>
      <c r="AK57" s="2"/>
      <c r="AL57" s="2"/>
      <c r="AM57" s="2"/>
    </row>
    <row r="58" spans="1:39" s="50" customFormat="1" ht="18.75">
      <c r="A58" s="51" t="s">
        <v>320</v>
      </c>
      <c r="B58" s="51"/>
      <c r="C58" s="51"/>
      <c r="D58" s="53">
        <v>1545459</v>
      </c>
      <c r="E58" s="53"/>
      <c r="F58" s="53">
        <v>20022498</v>
      </c>
      <c r="G58" s="53"/>
      <c r="H58" s="53">
        <v>305000</v>
      </c>
      <c r="I58" s="49"/>
      <c r="J58" s="53">
        <v>170000</v>
      </c>
      <c r="K58" s="53"/>
      <c r="L58" s="53">
        <v>15081806</v>
      </c>
      <c r="M58" s="134"/>
      <c r="N58" s="53">
        <v>4898</v>
      </c>
      <c r="O58" s="53"/>
      <c r="P58" s="53">
        <v>2588117</v>
      </c>
      <c r="Q58" s="53"/>
      <c r="R58" s="53">
        <v>-144466</v>
      </c>
      <c r="S58" s="49"/>
      <c r="T58" s="53">
        <v>210652</v>
      </c>
      <c r="U58" s="53"/>
      <c r="V58" s="53">
        <v>-2488452</v>
      </c>
      <c r="W58" s="49"/>
      <c r="X58" s="53">
        <f>SUM(N58:V58)</f>
        <v>170749</v>
      </c>
      <c r="Y58" s="49"/>
      <c r="Z58" s="53">
        <f>SUM(D58:L58,X58)</f>
        <v>37295512</v>
      </c>
      <c r="AA58" s="53"/>
      <c r="AB58" s="53">
        <v>1531563</v>
      </c>
      <c r="AC58" s="53"/>
      <c r="AD58" s="53">
        <f>SUM(Z58:AB58)</f>
        <v>38827075</v>
      </c>
      <c r="AI58" s="2"/>
      <c r="AJ58" s="2"/>
      <c r="AK58" s="2"/>
      <c r="AL58" s="2"/>
      <c r="AM58" s="2"/>
    </row>
    <row r="59" spans="1:39" s="50" customFormat="1" ht="18.75">
      <c r="A59" s="174" t="s">
        <v>237</v>
      </c>
      <c r="B59" s="51"/>
      <c r="C59" s="51"/>
      <c r="D59" s="53"/>
      <c r="E59" s="53"/>
      <c r="F59" s="53"/>
      <c r="G59" s="53"/>
      <c r="H59" s="53"/>
      <c r="I59" s="49"/>
      <c r="J59" s="53"/>
      <c r="K59" s="53"/>
      <c r="L59" s="53"/>
      <c r="M59" s="134"/>
      <c r="N59" s="53"/>
      <c r="O59" s="53"/>
      <c r="P59" s="53"/>
      <c r="Q59" s="53"/>
      <c r="R59" s="53"/>
      <c r="S59" s="49"/>
      <c r="T59" s="53"/>
      <c r="U59" s="53"/>
      <c r="V59" s="53"/>
      <c r="W59" s="49"/>
      <c r="X59" s="53"/>
      <c r="Y59" s="49"/>
      <c r="Z59" s="53"/>
      <c r="AA59" s="53"/>
      <c r="AB59" s="53"/>
      <c r="AC59" s="53"/>
      <c r="AD59" s="53"/>
      <c r="AI59" s="2"/>
      <c r="AJ59" s="2"/>
      <c r="AK59" s="2"/>
      <c r="AL59" s="2"/>
      <c r="AM59" s="2"/>
    </row>
    <row r="60" spans="1:39" s="50" customFormat="1" ht="18.75">
      <c r="A60" s="174" t="s">
        <v>291</v>
      </c>
      <c r="B60" s="51"/>
      <c r="C60" s="51"/>
      <c r="D60" s="175">
        <v>0</v>
      </c>
      <c r="E60" s="53"/>
      <c r="F60" s="175">
        <v>0</v>
      </c>
      <c r="G60" s="53"/>
      <c r="H60" s="175">
        <v>0</v>
      </c>
      <c r="I60" s="49"/>
      <c r="J60" s="175">
        <v>0</v>
      </c>
      <c r="K60" s="53"/>
      <c r="L60" s="175">
        <v>76572</v>
      </c>
      <c r="M60" s="134"/>
      <c r="N60" s="175">
        <v>-999</v>
      </c>
      <c r="O60" s="53"/>
      <c r="P60" s="175">
        <v>-517757</v>
      </c>
      <c r="Q60" s="53"/>
      <c r="R60" s="175">
        <v>0</v>
      </c>
      <c r="S60" s="49"/>
      <c r="T60" s="175">
        <v>0</v>
      </c>
      <c r="U60" s="53"/>
      <c r="V60" s="175">
        <v>0</v>
      </c>
      <c r="W60" s="49"/>
      <c r="X60" s="175">
        <f>SUM(N60:V60)</f>
        <v>-518756</v>
      </c>
      <c r="Y60" s="49"/>
      <c r="Z60" s="175">
        <f>SUM(D60:L60,X60)</f>
        <v>-442184</v>
      </c>
      <c r="AA60" s="53"/>
      <c r="AB60" s="175">
        <v>2072</v>
      </c>
      <c r="AC60" s="53"/>
      <c r="AD60" s="175">
        <f>SUM(Z60:AB60)</f>
        <v>-440112</v>
      </c>
      <c r="AI60" s="2"/>
      <c r="AJ60" s="2"/>
      <c r="AK60" s="2"/>
      <c r="AL60" s="2"/>
      <c r="AM60" s="2"/>
    </row>
    <row r="61" spans="1:39" s="50" customFormat="1" ht="18.75">
      <c r="A61" s="51" t="s">
        <v>222</v>
      </c>
      <c r="B61" s="51"/>
      <c r="C61" s="51"/>
      <c r="D61" s="53"/>
      <c r="E61" s="53"/>
      <c r="F61" s="53"/>
      <c r="G61" s="53"/>
      <c r="H61" s="53"/>
      <c r="I61" s="49"/>
      <c r="J61" s="53"/>
      <c r="K61" s="53"/>
      <c r="L61" s="53"/>
      <c r="M61" s="134"/>
      <c r="N61" s="53"/>
      <c r="O61" s="53"/>
      <c r="P61" s="53"/>
      <c r="Q61" s="53"/>
      <c r="R61" s="53"/>
      <c r="S61" s="49"/>
      <c r="T61" s="53"/>
      <c r="U61" s="53"/>
      <c r="V61" s="53"/>
      <c r="W61" s="49"/>
      <c r="X61" s="53"/>
      <c r="Y61" s="49"/>
      <c r="Z61" s="53"/>
      <c r="AA61" s="53"/>
      <c r="AB61" s="53"/>
      <c r="AC61" s="53"/>
      <c r="AD61" s="53"/>
      <c r="AI61" s="2"/>
      <c r="AJ61" s="2"/>
      <c r="AK61" s="2"/>
      <c r="AL61" s="2"/>
      <c r="AM61" s="2"/>
    </row>
    <row r="62" spans="1:39" s="50" customFormat="1" ht="18.75">
      <c r="A62" s="51" t="s">
        <v>321</v>
      </c>
      <c r="B62" s="51"/>
      <c r="C62" s="51"/>
      <c r="D62" s="53">
        <f>SUM(D58:D60)</f>
        <v>1545459</v>
      </c>
      <c r="E62" s="53"/>
      <c r="F62" s="53">
        <f>SUM(F58:F60)</f>
        <v>20022498</v>
      </c>
      <c r="G62" s="53"/>
      <c r="H62" s="53">
        <f>SUM(H58:H60)</f>
        <v>305000</v>
      </c>
      <c r="I62" s="49"/>
      <c r="J62" s="53">
        <f>SUM(J58:J60)</f>
        <v>170000</v>
      </c>
      <c r="K62" s="53"/>
      <c r="L62" s="53">
        <f>SUM(L58:L60)</f>
        <v>15158378</v>
      </c>
      <c r="M62" s="134"/>
      <c r="N62" s="53">
        <f>SUM(N58:N60)</f>
        <v>3899</v>
      </c>
      <c r="O62" s="53"/>
      <c r="P62" s="53">
        <f>SUM(P58:P60)</f>
        <v>2070360</v>
      </c>
      <c r="Q62" s="53"/>
      <c r="R62" s="53">
        <f>SUM(R58:R60)</f>
        <v>-144466</v>
      </c>
      <c r="S62" s="49"/>
      <c r="T62" s="53">
        <f>SUM(T58:T60)</f>
        <v>210652</v>
      </c>
      <c r="U62" s="53"/>
      <c r="V62" s="53">
        <f>SUM(V58:V60)</f>
        <v>-2488452</v>
      </c>
      <c r="W62" s="49"/>
      <c r="X62" s="53">
        <f>SUM(N62:V62)</f>
        <v>-348007</v>
      </c>
      <c r="Y62" s="53"/>
      <c r="Z62" s="53">
        <f>SUM(D62:L62,X62)</f>
        <v>36853328</v>
      </c>
      <c r="AA62" s="53"/>
      <c r="AB62" s="53">
        <f>SUM(AB58:AB60)</f>
        <v>1533635</v>
      </c>
      <c r="AC62" s="53"/>
      <c r="AD62" s="53">
        <f>SUM(Z62:AB62)</f>
        <v>38386963</v>
      </c>
      <c r="AI62" s="2"/>
      <c r="AJ62" s="2"/>
      <c r="AK62" s="2"/>
      <c r="AL62" s="2"/>
      <c r="AM62" s="2"/>
    </row>
    <row r="63" spans="1:39" s="50" customFormat="1" ht="18.75">
      <c r="A63" s="50" t="s">
        <v>263</v>
      </c>
      <c r="B63" s="65"/>
      <c r="D63" s="130">
        <v>0</v>
      </c>
      <c r="E63" s="53"/>
      <c r="F63" s="130">
        <v>0</v>
      </c>
      <c r="G63" s="53"/>
      <c r="H63" s="130">
        <v>0</v>
      </c>
      <c r="I63" s="49"/>
      <c r="J63" s="130">
        <v>0</v>
      </c>
      <c r="K63" s="53"/>
      <c r="L63" s="130">
        <f>'PL-T'!G113</f>
        <v>4844409</v>
      </c>
      <c r="M63" s="134"/>
      <c r="N63" s="130">
        <v>0</v>
      </c>
      <c r="O63" s="53"/>
      <c r="P63" s="130">
        <v>0</v>
      </c>
      <c r="Q63" s="49"/>
      <c r="R63" s="130">
        <v>0</v>
      </c>
      <c r="S63" s="49"/>
      <c r="T63" s="130">
        <v>0</v>
      </c>
      <c r="U63" s="53"/>
      <c r="V63" s="130">
        <v>0</v>
      </c>
      <c r="W63" s="49"/>
      <c r="X63" s="130">
        <f>SUM(N63:W63)</f>
        <v>0</v>
      </c>
      <c r="Y63" s="49"/>
      <c r="Z63" s="130">
        <f>D63+F63+H63+J63+L63+X63</f>
        <v>4844409</v>
      </c>
      <c r="AA63" s="53"/>
      <c r="AB63" s="130">
        <f>'PL-T'!G114</f>
        <v>211602</v>
      </c>
      <c r="AC63" s="53"/>
      <c r="AD63" s="130">
        <f>SUM(Z63:AB63)</f>
        <v>5056011</v>
      </c>
      <c r="AI63" s="2"/>
      <c r="AJ63" s="2"/>
      <c r="AK63" s="2"/>
      <c r="AL63" s="2"/>
      <c r="AM63" s="2"/>
    </row>
    <row r="64" spans="1:39" s="50" customFormat="1" ht="18.75">
      <c r="A64" s="50" t="s">
        <v>264</v>
      </c>
      <c r="B64" s="65"/>
      <c r="D64" s="131">
        <v>0</v>
      </c>
      <c r="E64" s="53"/>
      <c r="F64" s="131">
        <v>0</v>
      </c>
      <c r="G64" s="53"/>
      <c r="H64" s="131">
        <v>0</v>
      </c>
      <c r="I64" s="53"/>
      <c r="J64" s="131">
        <v>0</v>
      </c>
      <c r="K64" s="53"/>
      <c r="L64" s="131">
        <v>14776</v>
      </c>
      <c r="M64" s="69"/>
      <c r="N64" s="131">
        <v>-19469</v>
      </c>
      <c r="O64" s="53"/>
      <c r="P64" s="131">
        <v>-30498</v>
      </c>
      <c r="Q64" s="53"/>
      <c r="R64" s="131">
        <v>23260</v>
      </c>
      <c r="S64" s="53"/>
      <c r="T64" s="131">
        <v>-26850</v>
      </c>
      <c r="U64" s="53"/>
      <c r="V64" s="131">
        <v>0</v>
      </c>
      <c r="W64" s="53"/>
      <c r="X64" s="131">
        <f>SUM(N64:V64)</f>
        <v>-53557</v>
      </c>
      <c r="Y64" s="53"/>
      <c r="Z64" s="131">
        <f>D64+F64+H64+J64+L64+X64</f>
        <v>-38781</v>
      </c>
      <c r="AA64" s="53"/>
      <c r="AB64" s="131">
        <v>-2774</v>
      </c>
      <c r="AC64" s="53"/>
      <c r="AD64" s="131">
        <f>SUM(Z64:AB64)</f>
        <v>-41555</v>
      </c>
      <c r="AI64" s="2"/>
      <c r="AJ64" s="2"/>
      <c r="AK64" s="2"/>
      <c r="AL64" s="2"/>
      <c r="AM64" s="2"/>
    </row>
    <row r="65" spans="1:39" s="50" customFormat="1" ht="18.75">
      <c r="A65" s="50" t="s">
        <v>265</v>
      </c>
      <c r="B65" s="65"/>
      <c r="D65" s="139">
        <f>SUM(D63:D64)</f>
        <v>0</v>
      </c>
      <c r="E65" s="53"/>
      <c r="F65" s="139">
        <f>SUM(F63:F64)</f>
        <v>0</v>
      </c>
      <c r="G65" s="53"/>
      <c r="H65" s="139">
        <f>SUM(H63:H64)</f>
        <v>0</v>
      </c>
      <c r="I65" s="53"/>
      <c r="J65" s="139">
        <f>SUM(J63:J64)</f>
        <v>0</v>
      </c>
      <c r="K65" s="53"/>
      <c r="L65" s="139">
        <f>SUM(L63:L64)</f>
        <v>4859185</v>
      </c>
      <c r="M65" s="69"/>
      <c r="N65" s="139">
        <f>SUM(N63:N64)</f>
        <v>-19469</v>
      </c>
      <c r="O65" s="53"/>
      <c r="P65" s="139">
        <f>SUM(P63:P64)</f>
        <v>-30498</v>
      </c>
      <c r="Q65" s="53"/>
      <c r="R65" s="139">
        <f>SUM(R63:R64)</f>
        <v>23260</v>
      </c>
      <c r="S65" s="53"/>
      <c r="T65" s="139">
        <f>SUM(T63:T64)</f>
        <v>-26850</v>
      </c>
      <c r="U65" s="53"/>
      <c r="V65" s="139">
        <f>SUM(V63:V64)</f>
        <v>0</v>
      </c>
      <c r="W65" s="53"/>
      <c r="X65" s="139">
        <f>SUM(X63:X64)</f>
        <v>-53557</v>
      </c>
      <c r="Y65" s="53"/>
      <c r="Z65" s="139">
        <f>SUM(Z63:Z64)</f>
        <v>4805628</v>
      </c>
      <c r="AA65" s="53"/>
      <c r="AB65" s="139">
        <f>SUM(AB63:AB64)</f>
        <v>208828</v>
      </c>
      <c r="AC65" s="53"/>
      <c r="AD65" s="139">
        <f>SUM(AD63:AD64)</f>
        <v>5014456</v>
      </c>
      <c r="AI65" s="2"/>
      <c r="AJ65" s="2"/>
      <c r="AK65" s="2"/>
      <c r="AL65" s="2"/>
      <c r="AM65" s="2"/>
    </row>
    <row r="66" spans="1:39" s="50" customFormat="1" ht="18.75">
      <c r="A66" s="50" t="s">
        <v>298</v>
      </c>
      <c r="B66" s="65"/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f>R117</f>
        <v>-2781671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/>
      <c r="V66" s="53">
        <v>0</v>
      </c>
      <c r="W66" s="49"/>
      <c r="X66" s="53">
        <f>SUM(N66:W66)</f>
        <v>0</v>
      </c>
      <c r="Y66" s="49"/>
      <c r="Z66" s="53">
        <f>D66+F66+H66+J66+L66+X66</f>
        <v>-2781671</v>
      </c>
      <c r="AA66" s="53"/>
      <c r="AB66" s="53">
        <v>0</v>
      </c>
      <c r="AC66" s="53"/>
      <c r="AD66" s="53">
        <f>SUM(Z66:AB66)</f>
        <v>-2781671</v>
      </c>
      <c r="AI66" s="2"/>
      <c r="AJ66" s="2"/>
      <c r="AK66" s="2"/>
      <c r="AL66" s="2"/>
      <c r="AM66" s="2"/>
    </row>
    <row r="67" spans="1:39" s="50" customFormat="1" ht="18.75">
      <c r="A67" s="50" t="s">
        <v>225</v>
      </c>
      <c r="B67" s="65"/>
      <c r="D67" s="53"/>
      <c r="E67" s="53"/>
      <c r="F67" s="53"/>
      <c r="G67" s="53"/>
      <c r="H67" s="53"/>
      <c r="I67" s="53"/>
      <c r="J67" s="53"/>
      <c r="K67" s="53"/>
      <c r="L67" s="53"/>
      <c r="M67" s="69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I67" s="2"/>
      <c r="AJ67" s="2"/>
      <c r="AK67" s="2"/>
      <c r="AL67" s="2"/>
      <c r="AM67" s="2"/>
    </row>
    <row r="68" spans="1:39" s="50" customFormat="1" ht="18.75">
      <c r="A68" s="50" t="s">
        <v>226</v>
      </c>
      <c r="B68" s="65"/>
      <c r="D68" s="53">
        <v>0</v>
      </c>
      <c r="E68" s="53"/>
      <c r="F68" s="53">
        <v>0</v>
      </c>
      <c r="G68" s="53"/>
      <c r="H68" s="53">
        <v>0</v>
      </c>
      <c r="I68" s="53"/>
      <c r="J68" s="53">
        <v>0</v>
      </c>
      <c r="K68" s="53"/>
      <c r="L68" s="53">
        <v>0</v>
      </c>
      <c r="M68" s="69"/>
      <c r="N68" s="53">
        <v>0</v>
      </c>
      <c r="O68" s="53"/>
      <c r="P68" s="53">
        <v>0</v>
      </c>
      <c r="Q68" s="53"/>
      <c r="R68" s="53">
        <v>0</v>
      </c>
      <c r="S68" s="53"/>
      <c r="T68" s="53">
        <v>-5805</v>
      </c>
      <c r="U68" s="53"/>
      <c r="V68" s="53">
        <v>0</v>
      </c>
      <c r="W68" s="53"/>
      <c r="X68" s="53">
        <f>SUM(N68:V68)</f>
        <v>-5805</v>
      </c>
      <c r="Y68" s="53"/>
      <c r="Z68" s="53">
        <f>SUM(D68:L68,X68)</f>
        <v>-5805</v>
      </c>
      <c r="AA68" s="53"/>
      <c r="AB68" s="53">
        <v>0</v>
      </c>
      <c r="AC68" s="53"/>
      <c r="AD68" s="53">
        <f>SUM(Z68:AB68)</f>
        <v>-5805</v>
      </c>
      <c r="AI68" s="2"/>
      <c r="AJ68" s="2"/>
      <c r="AK68" s="2"/>
      <c r="AL68" s="2"/>
      <c r="AM68" s="2"/>
    </row>
    <row r="69" spans="1:39" s="50" customFormat="1" ht="18.75">
      <c r="A69" s="70" t="s">
        <v>244</v>
      </c>
      <c r="B69" s="65"/>
      <c r="D69" s="53"/>
      <c r="E69" s="53"/>
      <c r="F69" s="53"/>
      <c r="G69" s="53"/>
      <c r="H69" s="53"/>
      <c r="I69" s="53"/>
      <c r="J69" s="53"/>
      <c r="K69" s="53"/>
      <c r="L69" s="53"/>
      <c r="M69" s="69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I69" s="2"/>
      <c r="AJ69" s="2"/>
      <c r="AK69" s="2"/>
      <c r="AL69" s="2"/>
      <c r="AM69" s="2"/>
    </row>
    <row r="70" spans="1:39" s="70" customFormat="1" ht="18.75">
      <c r="A70" s="70" t="s">
        <v>245</v>
      </c>
      <c r="B70" s="140"/>
      <c r="D70" s="53"/>
      <c r="E70" s="53"/>
      <c r="F70" s="53"/>
      <c r="G70" s="53"/>
      <c r="H70" s="53"/>
      <c r="I70" s="53"/>
      <c r="J70" s="53"/>
      <c r="K70" s="53"/>
      <c r="L70" s="53"/>
      <c r="M70" s="69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I70" s="141"/>
      <c r="AJ70" s="141"/>
      <c r="AK70" s="141"/>
      <c r="AL70" s="141"/>
      <c r="AM70" s="141"/>
    </row>
    <row r="71" spans="1:39" s="50" customFormat="1" ht="18.75">
      <c r="A71" s="50" t="s">
        <v>238</v>
      </c>
      <c r="B71" s="65"/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/>
      <c r="V71" s="53">
        <v>-76438</v>
      </c>
      <c r="W71" s="49"/>
      <c r="X71" s="53">
        <f>SUM(N71:W71)</f>
        <v>-76438</v>
      </c>
      <c r="Y71" s="49"/>
      <c r="Z71" s="53">
        <f>D71+F71+H71+J71+L71+X71</f>
        <v>-76438</v>
      </c>
      <c r="AA71" s="53"/>
      <c r="AB71" s="53">
        <v>189319</v>
      </c>
      <c r="AC71" s="53"/>
      <c r="AD71" s="53">
        <f>SUM(Z71:AB71)</f>
        <v>112881</v>
      </c>
      <c r="AI71" s="2"/>
      <c r="AJ71" s="2"/>
      <c r="AK71" s="2"/>
      <c r="AL71" s="2"/>
      <c r="AM71" s="2"/>
    </row>
    <row r="72" spans="1:39" s="50" customFormat="1" ht="18.75">
      <c r="A72" s="50" t="s">
        <v>239</v>
      </c>
      <c r="B72" s="65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49"/>
      <c r="X72" s="53"/>
      <c r="Y72" s="49"/>
      <c r="Z72" s="53"/>
      <c r="AA72" s="53"/>
      <c r="AB72" s="53"/>
      <c r="AC72" s="53"/>
      <c r="AD72" s="53"/>
      <c r="AI72" s="2"/>
      <c r="AJ72" s="2"/>
      <c r="AK72" s="2"/>
      <c r="AL72" s="2"/>
      <c r="AM72" s="2"/>
    </row>
    <row r="73" spans="1:39" s="50" customFormat="1" ht="18.75">
      <c r="A73" s="50" t="s">
        <v>240</v>
      </c>
      <c r="B73" s="65"/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49">
        <v>0</v>
      </c>
      <c r="J73" s="53">
        <v>0</v>
      </c>
      <c r="K73" s="53">
        <v>0</v>
      </c>
      <c r="L73" s="53">
        <v>0</v>
      </c>
      <c r="M73" s="134">
        <v>0</v>
      </c>
      <c r="N73" s="53">
        <v>0</v>
      </c>
      <c r="O73" s="53">
        <v>0</v>
      </c>
      <c r="P73" s="53">
        <v>0</v>
      </c>
      <c r="Q73" s="49">
        <v>0</v>
      </c>
      <c r="R73" s="53">
        <v>0</v>
      </c>
      <c r="S73" s="49">
        <v>0</v>
      </c>
      <c r="T73" s="53">
        <v>0</v>
      </c>
      <c r="U73" s="53"/>
      <c r="V73" s="53">
        <v>0</v>
      </c>
      <c r="W73" s="49"/>
      <c r="X73" s="53">
        <f>SUM(N73:W73)</f>
        <v>0</v>
      </c>
      <c r="Y73" s="49"/>
      <c r="Z73" s="53">
        <f>D73+F73+H73+J73+L73+X73</f>
        <v>0</v>
      </c>
      <c r="AA73" s="53"/>
      <c r="AB73" s="53">
        <v>-43811</v>
      </c>
      <c r="AC73" s="66"/>
      <c r="AD73" s="53">
        <f>SUM(Z73:AB73)</f>
        <v>-43811</v>
      </c>
      <c r="AI73" s="2"/>
      <c r="AJ73" s="2"/>
      <c r="AK73" s="2"/>
      <c r="AL73" s="2"/>
      <c r="AM73" s="2"/>
    </row>
    <row r="74" spans="1:39" s="50" customFormat="1" ht="19.5" thickBot="1">
      <c r="A74" s="51" t="s">
        <v>309</v>
      </c>
      <c r="B74" s="51"/>
      <c r="C74" s="51"/>
      <c r="D74" s="67">
        <f>SUM(D62:D73)-D65</f>
        <v>1545459</v>
      </c>
      <c r="E74" s="53"/>
      <c r="F74" s="67">
        <f>SUM(F62:F73)-F65</f>
        <v>20022498</v>
      </c>
      <c r="G74" s="53"/>
      <c r="H74" s="67">
        <f>SUM(H62:H73)-H65</f>
        <v>305000</v>
      </c>
      <c r="I74" s="49"/>
      <c r="J74" s="67">
        <f>SUM(J62:J73)-J65</f>
        <v>170000</v>
      </c>
      <c r="K74" s="53"/>
      <c r="L74" s="67">
        <f>SUM(L62:L73)-L65</f>
        <v>17235892</v>
      </c>
      <c r="M74" s="134"/>
      <c r="N74" s="67">
        <f>SUM(N62:N73)-N65</f>
        <v>-15570</v>
      </c>
      <c r="O74" s="53"/>
      <c r="P74" s="67">
        <f>SUM(P62:P73)-P65</f>
        <v>2039862</v>
      </c>
      <c r="Q74" s="53"/>
      <c r="R74" s="67">
        <f>SUM(R62:R73)-R65</f>
        <v>-121206</v>
      </c>
      <c r="S74" s="49"/>
      <c r="T74" s="67">
        <f>SUM(T62:T73)-T65</f>
        <v>177997</v>
      </c>
      <c r="U74" s="53"/>
      <c r="V74" s="67">
        <f>SUM(V62:V73)-V65</f>
        <v>-2564890</v>
      </c>
      <c r="W74" s="49"/>
      <c r="X74" s="67">
        <f>SUM(X62:X73)-X65</f>
        <v>-483807</v>
      </c>
      <c r="Y74" s="49"/>
      <c r="Z74" s="67">
        <f>SUM(Z62:Z73)-Z65</f>
        <v>38795042</v>
      </c>
      <c r="AA74" s="53"/>
      <c r="AB74" s="67">
        <f>SUM(AB62:AB73)-AB65</f>
        <v>1887971</v>
      </c>
      <c r="AC74" s="53"/>
      <c r="AD74" s="67">
        <f>SUM(AD62:AD73)-AD65</f>
        <v>40683013</v>
      </c>
      <c r="AI74" s="2"/>
      <c r="AJ74" s="2"/>
      <c r="AK74" s="2"/>
      <c r="AL74" s="2"/>
      <c r="AM74" s="2"/>
    </row>
    <row r="75" spans="2:29" ht="19.5" thickTop="1">
      <c r="B75" s="55"/>
      <c r="C75" s="55"/>
      <c r="AC75" s="58"/>
    </row>
    <row r="76" spans="1:32" ht="18.75">
      <c r="A76" s="50" t="s">
        <v>40</v>
      </c>
      <c r="B76" s="55"/>
      <c r="C76" s="55"/>
      <c r="AC76" s="58"/>
      <c r="AF76" s="56"/>
    </row>
    <row r="77" spans="1:32" ht="18.75">
      <c r="A77" s="50"/>
      <c r="B77" s="55"/>
      <c r="C77" s="55"/>
      <c r="AC77" s="58"/>
      <c r="AF77" s="56"/>
    </row>
    <row r="78" spans="1:32" ht="18.75">
      <c r="A78" s="50"/>
      <c r="B78" s="55"/>
      <c r="C78" s="55"/>
      <c r="AC78" s="58"/>
      <c r="AF78" s="56"/>
    </row>
    <row r="79" spans="1:32" ht="18.75">
      <c r="A79" s="50"/>
      <c r="B79" s="55"/>
      <c r="C79" s="55"/>
      <c r="AC79" s="58"/>
      <c r="AF79" s="56"/>
    </row>
    <row r="80" spans="1:32" ht="18.75">
      <c r="A80" s="50"/>
      <c r="B80" s="55"/>
      <c r="C80" s="55"/>
      <c r="AC80" s="58"/>
      <c r="AF80" s="56"/>
    </row>
    <row r="81" spans="1:32" ht="18.75">
      <c r="A81" s="50"/>
      <c r="B81" s="55"/>
      <c r="C81" s="55"/>
      <c r="AC81" s="58"/>
      <c r="AF81" s="56"/>
    </row>
    <row r="82" spans="1:32" ht="18.75">
      <c r="A82" s="50"/>
      <c r="B82" s="55"/>
      <c r="C82" s="55"/>
      <c r="AC82" s="58"/>
      <c r="AF82" s="56"/>
    </row>
    <row r="83" spans="1:32" ht="18.75">
      <c r="A83" s="50"/>
      <c r="B83" s="55"/>
      <c r="C83" s="55"/>
      <c r="AC83" s="58"/>
      <c r="AF83" s="56"/>
    </row>
    <row r="84" spans="1:37" s="190" customFormat="1" ht="26.25">
      <c r="A84" s="188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9"/>
      <c r="AD84" s="187">
        <v>9</v>
      </c>
      <c r="AE84" s="187"/>
      <c r="AG84" s="187"/>
      <c r="AH84" s="187"/>
      <c r="AI84" s="187"/>
      <c r="AJ84" s="187"/>
      <c r="AK84" s="187"/>
    </row>
    <row r="85" spans="2:39" ht="18.75">
      <c r="B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60" t="s">
        <v>283</v>
      </c>
      <c r="AA85" s="54"/>
      <c r="AB85" s="54"/>
      <c r="AC85" s="54"/>
      <c r="AD85" s="54"/>
      <c r="AL85" s="55"/>
      <c r="AM85" s="55"/>
    </row>
    <row r="86" spans="2:39" ht="18.75">
      <c r="B86" s="54" t="s">
        <v>41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L86" s="55"/>
      <c r="AM86" s="55"/>
    </row>
    <row r="87" spans="2:39" ht="18.75">
      <c r="B87" s="54" t="s">
        <v>76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L87" s="55"/>
      <c r="AM87" s="55"/>
    </row>
    <row r="88" spans="2:39" ht="18.75">
      <c r="B88" s="156" t="s">
        <v>307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L88" s="55"/>
      <c r="AM88" s="55"/>
    </row>
    <row r="89" spans="6:37" s="57" customFormat="1" ht="18.75"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60" t="s">
        <v>255</v>
      </c>
      <c r="AA89" s="58"/>
      <c r="AC89" s="58"/>
      <c r="AE89" s="58"/>
      <c r="AF89" s="58"/>
      <c r="AG89" s="58"/>
      <c r="AH89" s="58"/>
      <c r="AI89" s="58"/>
      <c r="AJ89" s="58"/>
      <c r="AK89" s="58"/>
    </row>
    <row r="90" spans="10:37" s="62" customFormat="1" ht="18.75">
      <c r="J90" s="58"/>
      <c r="K90" s="58"/>
      <c r="L90" s="148" t="s">
        <v>107</v>
      </c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C90" s="58"/>
      <c r="AD90" s="58"/>
      <c r="AE90" s="64"/>
      <c r="AF90" s="64"/>
      <c r="AG90" s="64"/>
      <c r="AH90" s="64"/>
      <c r="AI90" s="64"/>
      <c r="AJ90" s="64"/>
      <c r="AK90" s="64"/>
    </row>
    <row r="91" spans="10:37" s="62" customFormat="1" ht="18.75">
      <c r="J91" s="58"/>
      <c r="K91" s="58"/>
      <c r="L91" s="59"/>
      <c r="M91" s="59"/>
      <c r="N91" s="59"/>
      <c r="O91" s="59"/>
      <c r="P91" s="59"/>
      <c r="Q91" s="59"/>
      <c r="R91" s="59"/>
      <c r="S91" s="59"/>
      <c r="T91" s="192" t="s">
        <v>159</v>
      </c>
      <c r="U91" s="192"/>
      <c r="V91" s="192"/>
      <c r="W91" s="192"/>
      <c r="X91" s="192"/>
      <c r="Y91" s="145"/>
      <c r="Z91" s="145"/>
      <c r="AA91" s="58"/>
      <c r="AB91" s="58"/>
      <c r="AC91" s="64"/>
      <c r="AD91" s="64"/>
      <c r="AE91" s="64"/>
      <c r="AF91" s="64"/>
      <c r="AG91" s="64"/>
      <c r="AH91" s="64"/>
      <c r="AI91" s="64"/>
      <c r="AJ91" s="64"/>
      <c r="AK91" s="64"/>
    </row>
    <row r="92" spans="12:35" s="62" customFormat="1" ht="18.75">
      <c r="L92" s="59"/>
      <c r="M92" s="59"/>
      <c r="N92" s="58"/>
      <c r="O92" s="58"/>
      <c r="P92" s="61"/>
      <c r="Q92" s="61" t="s">
        <v>47</v>
      </c>
      <c r="R92" s="61"/>
      <c r="S92" s="64"/>
      <c r="T92" s="62" t="s">
        <v>38</v>
      </c>
      <c r="U92" s="59"/>
      <c r="Y92" s="59"/>
      <c r="Z92" s="59"/>
      <c r="AA92" s="64"/>
      <c r="AB92" s="64"/>
      <c r="AC92" s="64"/>
      <c r="AD92" s="64"/>
      <c r="AE92" s="64"/>
      <c r="AF92" s="64"/>
      <c r="AG92" s="64"/>
      <c r="AH92" s="64"/>
      <c r="AI92" s="64"/>
    </row>
    <row r="93" spans="12:35" s="62" customFormat="1" ht="18.75">
      <c r="L93" s="64" t="s">
        <v>10</v>
      </c>
      <c r="M93" s="64"/>
      <c r="N93" s="64"/>
      <c r="P93" s="64" t="s">
        <v>84</v>
      </c>
      <c r="Q93" s="64"/>
      <c r="R93" s="64"/>
      <c r="T93" s="64" t="s">
        <v>174</v>
      </c>
      <c r="U93" s="64"/>
      <c r="V93" s="64" t="s">
        <v>38</v>
      </c>
      <c r="X93" s="64" t="s">
        <v>166</v>
      </c>
      <c r="Y93" s="64"/>
      <c r="Z93" s="64" t="s">
        <v>23</v>
      </c>
      <c r="AA93" s="64"/>
      <c r="AB93" s="64"/>
      <c r="AC93" s="64"/>
      <c r="AD93" s="64"/>
      <c r="AE93" s="64"/>
      <c r="AF93" s="64"/>
      <c r="AG93" s="64"/>
      <c r="AH93" s="64"/>
      <c r="AI93" s="64"/>
    </row>
    <row r="94" spans="12:35" s="62" customFormat="1" ht="18.75">
      <c r="L94" s="64" t="s">
        <v>27</v>
      </c>
      <c r="M94" s="64"/>
      <c r="N94" s="64" t="s">
        <v>85</v>
      </c>
      <c r="P94" s="64" t="s">
        <v>57</v>
      </c>
      <c r="Q94" s="64"/>
      <c r="R94" s="64"/>
      <c r="T94" s="59" t="s">
        <v>176</v>
      </c>
      <c r="U94" s="64"/>
      <c r="V94" s="64" t="s">
        <v>86</v>
      </c>
      <c r="W94" s="64"/>
      <c r="X94" s="64" t="s">
        <v>168</v>
      </c>
      <c r="Y94" s="64"/>
      <c r="Z94" s="62" t="s">
        <v>34</v>
      </c>
      <c r="AA94" s="64"/>
      <c r="AB94" s="64"/>
      <c r="AC94" s="64"/>
      <c r="AD94" s="64"/>
      <c r="AE94" s="64"/>
      <c r="AF94" s="64"/>
      <c r="AG94" s="64"/>
      <c r="AH94" s="64"/>
      <c r="AI94" s="64"/>
    </row>
    <row r="95" spans="12:35" s="62" customFormat="1" ht="18.75">
      <c r="L95" s="61" t="s">
        <v>28</v>
      </c>
      <c r="M95" s="64"/>
      <c r="N95" s="61" t="s">
        <v>89</v>
      </c>
      <c r="P95" s="61" t="s">
        <v>56</v>
      </c>
      <c r="Q95" s="59"/>
      <c r="R95" s="61" t="s">
        <v>21</v>
      </c>
      <c r="T95" s="129" t="s">
        <v>175</v>
      </c>
      <c r="U95" s="64"/>
      <c r="V95" s="61" t="s">
        <v>115</v>
      </c>
      <c r="W95" s="59"/>
      <c r="X95" s="61" t="s">
        <v>167</v>
      </c>
      <c r="Y95" s="64"/>
      <c r="Z95" s="61" t="s">
        <v>35</v>
      </c>
      <c r="AA95" s="64"/>
      <c r="AB95" s="64"/>
      <c r="AC95" s="64"/>
      <c r="AD95" s="64"/>
      <c r="AE95" s="64"/>
      <c r="AF95" s="64"/>
      <c r="AG95" s="64"/>
      <c r="AH95" s="64"/>
      <c r="AI95" s="64"/>
    </row>
    <row r="96" spans="2:35" s="50" customFormat="1" ht="18.75">
      <c r="B96" s="51" t="s">
        <v>204</v>
      </c>
      <c r="C96" s="51"/>
      <c r="E96" s="51"/>
      <c r="AA96" s="2"/>
      <c r="AB96" s="2"/>
      <c r="AC96" s="2"/>
      <c r="AD96" s="2"/>
      <c r="AE96" s="2"/>
      <c r="AF96" s="2"/>
      <c r="AG96" s="2"/>
      <c r="AH96" s="2"/>
      <c r="AI96" s="2"/>
    </row>
    <row r="97" spans="2:35" s="50" customFormat="1" ht="18.75">
      <c r="B97" s="51" t="s">
        <v>320</v>
      </c>
      <c r="C97" s="51"/>
      <c r="E97" s="51"/>
      <c r="L97" s="53">
        <v>1545459</v>
      </c>
      <c r="M97" s="53"/>
      <c r="N97" s="53">
        <v>19959574</v>
      </c>
      <c r="P97" s="53">
        <v>155339</v>
      </c>
      <c r="Q97" s="53"/>
      <c r="R97" s="53">
        <v>2516503</v>
      </c>
      <c r="T97" s="53">
        <v>1372093</v>
      </c>
      <c r="U97" s="53"/>
      <c r="V97" s="53">
        <v>513311</v>
      </c>
      <c r="W97" s="49"/>
      <c r="X97" s="53">
        <f>SUM(T97:W97)</f>
        <v>1885404</v>
      </c>
      <c r="Y97" s="49"/>
      <c r="Z97" s="53">
        <f>SUM(X97,L97:R97)</f>
        <v>26062279</v>
      </c>
      <c r="AA97" s="2"/>
      <c r="AB97" s="2"/>
      <c r="AC97" s="2"/>
      <c r="AD97" s="2"/>
      <c r="AE97" s="2"/>
      <c r="AF97" s="2"/>
      <c r="AG97" s="2"/>
      <c r="AH97" s="2"/>
      <c r="AI97" s="2"/>
    </row>
    <row r="98" spans="2:35" s="50" customFormat="1" ht="18.75">
      <c r="B98" s="174" t="s">
        <v>237</v>
      </c>
      <c r="C98" s="51"/>
      <c r="E98" s="51"/>
      <c r="L98" s="53"/>
      <c r="M98" s="53"/>
      <c r="N98" s="53"/>
      <c r="P98" s="53"/>
      <c r="Q98" s="53"/>
      <c r="R98" s="53"/>
      <c r="T98" s="53"/>
      <c r="U98" s="53"/>
      <c r="V98" s="53"/>
      <c r="W98" s="49"/>
      <c r="X98" s="69"/>
      <c r="Y98" s="49"/>
      <c r="Z98" s="53"/>
      <c r="AA98" s="2"/>
      <c r="AB98" s="2"/>
      <c r="AC98" s="2"/>
      <c r="AD98" s="2"/>
      <c r="AE98" s="2"/>
      <c r="AF98" s="2"/>
      <c r="AG98" s="2"/>
      <c r="AH98" s="2"/>
      <c r="AI98" s="2"/>
    </row>
    <row r="99" spans="2:35" s="50" customFormat="1" ht="18.75">
      <c r="B99" s="174" t="s">
        <v>291</v>
      </c>
      <c r="C99" s="51"/>
      <c r="E99" s="51"/>
      <c r="L99" s="175">
        <v>0</v>
      </c>
      <c r="M99" s="53"/>
      <c r="N99" s="175">
        <v>0</v>
      </c>
      <c r="P99" s="175">
        <v>0</v>
      </c>
      <c r="Q99" s="53"/>
      <c r="R99" s="175">
        <v>1185</v>
      </c>
      <c r="T99" s="175">
        <v>-274419</v>
      </c>
      <c r="U99" s="53"/>
      <c r="V99" s="175">
        <v>-102662</v>
      </c>
      <c r="W99" s="49"/>
      <c r="X99" s="175">
        <f>SUM(T99:W99)</f>
        <v>-377081</v>
      </c>
      <c r="Y99" s="49"/>
      <c r="Z99" s="175">
        <f>SUM(X99,L99:R99)</f>
        <v>-375896</v>
      </c>
      <c r="AA99" s="2"/>
      <c r="AB99" s="2"/>
      <c r="AC99" s="2"/>
      <c r="AD99" s="2"/>
      <c r="AE99" s="2"/>
      <c r="AF99" s="2"/>
      <c r="AG99" s="2"/>
      <c r="AH99" s="2"/>
      <c r="AI99" s="2"/>
    </row>
    <row r="100" spans="2:35" s="50" customFormat="1" ht="18.75">
      <c r="B100" s="51" t="s">
        <v>204</v>
      </c>
      <c r="C100" s="51"/>
      <c r="E100" s="51"/>
      <c r="L100" s="53"/>
      <c r="M100" s="53"/>
      <c r="N100" s="53"/>
      <c r="P100" s="53"/>
      <c r="Q100" s="53"/>
      <c r="R100" s="53"/>
      <c r="T100" s="53"/>
      <c r="U100" s="53"/>
      <c r="V100" s="53"/>
      <c r="W100" s="49"/>
      <c r="X100" s="53"/>
      <c r="Y100" s="49"/>
      <c r="Z100" s="53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2:35" s="50" customFormat="1" ht="18.75">
      <c r="B101" s="51" t="s">
        <v>321</v>
      </c>
      <c r="C101" s="51"/>
      <c r="E101" s="51"/>
      <c r="L101" s="53">
        <f>SUM(L97:L99)</f>
        <v>1545459</v>
      </c>
      <c r="M101" s="53"/>
      <c r="N101" s="53">
        <f>SUM(N97:N99)</f>
        <v>19959574</v>
      </c>
      <c r="P101" s="53">
        <f>SUM(P97:P99)</f>
        <v>155339</v>
      </c>
      <c r="Q101" s="53"/>
      <c r="R101" s="53">
        <f>SUM(R97:R99)</f>
        <v>2517688</v>
      </c>
      <c r="T101" s="53">
        <f>SUM(T97:T99)</f>
        <v>1097674</v>
      </c>
      <c r="U101" s="53"/>
      <c r="V101" s="53">
        <f>SUM(V97:V99)</f>
        <v>410649</v>
      </c>
      <c r="W101" s="49"/>
      <c r="X101" s="175">
        <f>SUM(T101:W101)</f>
        <v>1508323</v>
      </c>
      <c r="Y101" s="49"/>
      <c r="Z101" s="175">
        <f>SUM(X101,L101:R101)</f>
        <v>25686383</v>
      </c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2:35" s="50" customFormat="1" ht="18.75">
      <c r="B102" s="50" t="s">
        <v>325</v>
      </c>
      <c r="L102" s="130">
        <v>0</v>
      </c>
      <c r="M102" s="2"/>
      <c r="N102" s="130">
        <v>0</v>
      </c>
      <c r="O102" s="2"/>
      <c r="P102" s="130">
        <v>0</v>
      </c>
      <c r="Q102" s="2"/>
      <c r="R102" s="130">
        <f>'PL-T'!M113</f>
        <v>1386314</v>
      </c>
      <c r="S102" s="2"/>
      <c r="T102" s="130">
        <v>0</v>
      </c>
      <c r="U102" s="2"/>
      <c r="V102" s="130">
        <v>0</v>
      </c>
      <c r="W102" s="2"/>
      <c r="X102" s="132">
        <f>SUM(T102:W102)</f>
        <v>0</v>
      </c>
      <c r="Y102" s="2"/>
      <c r="Z102" s="130">
        <f>SUM(X102,L102:R102)</f>
        <v>1386314</v>
      </c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2:35" s="50" customFormat="1" ht="18.75">
      <c r="B103" s="50" t="s">
        <v>323</v>
      </c>
      <c r="L103" s="131">
        <v>0</v>
      </c>
      <c r="M103" s="53"/>
      <c r="N103" s="131">
        <v>0</v>
      </c>
      <c r="P103" s="131">
        <v>0</v>
      </c>
      <c r="Q103" s="66"/>
      <c r="R103" s="131">
        <v>0</v>
      </c>
      <c r="T103" s="131">
        <f>'PL-T'!M135+'PL-T'!M138</f>
        <v>-1080516</v>
      </c>
      <c r="U103" s="66"/>
      <c r="V103" s="131">
        <v>0</v>
      </c>
      <c r="W103" s="49"/>
      <c r="X103" s="133">
        <f>SUM(T103:W103)</f>
        <v>-1080516</v>
      </c>
      <c r="Y103" s="49"/>
      <c r="Z103" s="131">
        <f>SUM(X103,L103:R103)</f>
        <v>-1080516</v>
      </c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2:35" s="50" customFormat="1" ht="18.75">
      <c r="B104" s="50" t="s">
        <v>324</v>
      </c>
      <c r="L104" s="53">
        <f>SUM(L102:L103)</f>
        <v>0</v>
      </c>
      <c r="M104" s="53"/>
      <c r="N104" s="53">
        <f>SUM(N102:N103)</f>
        <v>0</v>
      </c>
      <c r="P104" s="53">
        <f>SUM(P102:P103)</f>
        <v>0</v>
      </c>
      <c r="Q104" s="66"/>
      <c r="R104" s="53">
        <f>SUM(R102:R103)</f>
        <v>1386314</v>
      </c>
      <c r="T104" s="53">
        <f>SUM(T102:T103)</f>
        <v>-1080516</v>
      </c>
      <c r="U104" s="66"/>
      <c r="V104" s="53">
        <f>SUM(V102:V103)</f>
        <v>0</v>
      </c>
      <c r="W104" s="49"/>
      <c r="X104" s="53">
        <f>SUM(X102:X103)</f>
        <v>-1080516</v>
      </c>
      <c r="Y104" s="49"/>
      <c r="Z104" s="53">
        <f>SUM(Z102:Z103)</f>
        <v>305798</v>
      </c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2:35" s="50" customFormat="1" ht="18.75">
      <c r="B105" s="50" t="s">
        <v>298</v>
      </c>
      <c r="L105" s="53">
        <v>0</v>
      </c>
      <c r="M105" s="53"/>
      <c r="N105" s="53">
        <v>0</v>
      </c>
      <c r="P105" s="53">
        <v>0</v>
      </c>
      <c r="Q105" s="66"/>
      <c r="R105" s="53">
        <v>-1699996</v>
      </c>
      <c r="T105" s="53">
        <v>0</v>
      </c>
      <c r="U105" s="66"/>
      <c r="V105" s="53">
        <v>0</v>
      </c>
      <c r="W105" s="49"/>
      <c r="X105" s="53">
        <f>SUM(T105:W105)</f>
        <v>0</v>
      </c>
      <c r="Y105" s="49"/>
      <c r="Z105" s="53">
        <f>SUM(X105,L105:R105)</f>
        <v>-1699996</v>
      </c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2:35" s="50" customFormat="1" ht="19.5" thickBot="1">
      <c r="B106" s="51" t="s">
        <v>308</v>
      </c>
      <c r="C106" s="51"/>
      <c r="E106" s="51"/>
      <c r="L106" s="67">
        <f>SUM(L101:L103)+L105</f>
        <v>1545459</v>
      </c>
      <c r="M106" s="53"/>
      <c r="N106" s="67">
        <f>SUM(N101:N103)+N105</f>
        <v>19959574</v>
      </c>
      <c r="P106" s="67">
        <f>SUM(P101:P103)+P105</f>
        <v>155339</v>
      </c>
      <c r="Q106" s="53"/>
      <c r="R106" s="67">
        <f>SUM(R101:R103)+R105</f>
        <v>2204006</v>
      </c>
      <c r="T106" s="67">
        <f>SUM(T101:T103)+T105</f>
        <v>17158</v>
      </c>
      <c r="U106" s="53"/>
      <c r="V106" s="67">
        <f>SUM(V101:V103)+V105</f>
        <v>410649</v>
      </c>
      <c r="W106" s="49"/>
      <c r="X106" s="67">
        <f>SUM(X101:X103)+X105</f>
        <v>427807</v>
      </c>
      <c r="Y106" s="49"/>
      <c r="Z106" s="67">
        <f>SUM(Z101:Z103)+Z105</f>
        <v>24292185</v>
      </c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5:37" ht="19.5" thickTop="1">
      <c r="E107" s="56"/>
      <c r="AJ107" s="56"/>
      <c r="AK107" s="56"/>
    </row>
    <row r="108" spans="2:35" s="50" customFormat="1" ht="18.75">
      <c r="B108" s="51" t="s">
        <v>222</v>
      </c>
      <c r="C108" s="51"/>
      <c r="E108" s="51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2:35" s="50" customFormat="1" ht="18.75">
      <c r="B109" s="51" t="s">
        <v>320</v>
      </c>
      <c r="C109" s="51"/>
      <c r="E109" s="51"/>
      <c r="L109" s="53">
        <v>1545459</v>
      </c>
      <c r="M109" s="53"/>
      <c r="N109" s="53">
        <v>19959574</v>
      </c>
      <c r="P109" s="53">
        <v>170000</v>
      </c>
      <c r="Q109" s="53"/>
      <c r="R109" s="53">
        <v>3433450</v>
      </c>
      <c r="T109" s="53">
        <v>4452</v>
      </c>
      <c r="U109" s="53"/>
      <c r="V109" s="53">
        <v>987468</v>
      </c>
      <c r="W109" s="49"/>
      <c r="X109" s="53">
        <f>SUM(T109:W109)</f>
        <v>991920</v>
      </c>
      <c r="Y109" s="49"/>
      <c r="Z109" s="53">
        <f>SUM(X109,L109:R109)</f>
        <v>26100403</v>
      </c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2:35" s="50" customFormat="1" ht="18.75">
      <c r="B110" s="174" t="s">
        <v>237</v>
      </c>
      <c r="C110" s="51"/>
      <c r="E110" s="51"/>
      <c r="L110" s="53"/>
      <c r="M110" s="53"/>
      <c r="N110" s="53"/>
      <c r="P110" s="53"/>
      <c r="Q110" s="53"/>
      <c r="R110" s="53"/>
      <c r="T110" s="53"/>
      <c r="U110" s="53"/>
      <c r="V110" s="53"/>
      <c r="W110" s="49"/>
      <c r="X110" s="53"/>
      <c r="Y110" s="49"/>
      <c r="Z110" s="53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2:35" s="50" customFormat="1" ht="18.75">
      <c r="B111" s="174" t="s">
        <v>291</v>
      </c>
      <c r="C111" s="51"/>
      <c r="E111" s="51"/>
      <c r="L111" s="175">
        <v>0</v>
      </c>
      <c r="M111" s="53"/>
      <c r="N111" s="175">
        <v>0</v>
      </c>
      <c r="P111" s="175">
        <v>0</v>
      </c>
      <c r="Q111" s="53"/>
      <c r="R111" s="175">
        <v>2714</v>
      </c>
      <c r="T111" s="175">
        <v>-890</v>
      </c>
      <c r="U111" s="53"/>
      <c r="V111" s="175">
        <v>-197494</v>
      </c>
      <c r="W111" s="49"/>
      <c r="X111" s="175">
        <f>SUM(T111:W111)</f>
        <v>-198384</v>
      </c>
      <c r="Y111" s="49"/>
      <c r="Z111" s="175">
        <f>SUM(X111,L111:R111)</f>
        <v>-195670</v>
      </c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2:35" s="50" customFormat="1" ht="18.75">
      <c r="B112" s="51" t="s">
        <v>222</v>
      </c>
      <c r="C112" s="51"/>
      <c r="E112" s="51"/>
      <c r="L112" s="53"/>
      <c r="M112" s="53"/>
      <c r="N112" s="53"/>
      <c r="P112" s="53"/>
      <c r="Q112" s="53"/>
      <c r="R112" s="53"/>
      <c r="T112" s="53"/>
      <c r="U112" s="53"/>
      <c r="V112" s="53"/>
      <c r="W112" s="49"/>
      <c r="X112" s="53"/>
      <c r="Y112" s="49"/>
      <c r="Z112" s="53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2:35" s="50" customFormat="1" ht="18.75">
      <c r="B113" s="51" t="s">
        <v>321</v>
      </c>
      <c r="C113" s="51"/>
      <c r="E113" s="51"/>
      <c r="L113" s="53">
        <f>SUM(L109:L111)</f>
        <v>1545459</v>
      </c>
      <c r="M113" s="53"/>
      <c r="N113" s="53">
        <f>SUM(N109:N111)</f>
        <v>19959574</v>
      </c>
      <c r="P113" s="53">
        <f>SUM(P109:P111)</f>
        <v>170000</v>
      </c>
      <c r="Q113" s="53"/>
      <c r="R113" s="53">
        <f>SUM(R109:R111)</f>
        <v>3436164</v>
      </c>
      <c r="T113" s="53">
        <f>SUM(T109:T111)</f>
        <v>3562</v>
      </c>
      <c r="U113" s="53"/>
      <c r="V113" s="53">
        <f>SUM(V109:V111)</f>
        <v>789974</v>
      </c>
      <c r="W113" s="49"/>
      <c r="X113" s="53">
        <f>SUM(T113:W113)</f>
        <v>793536</v>
      </c>
      <c r="Y113" s="53"/>
      <c r="Z113" s="53">
        <f>SUM(X113,L113:R113)</f>
        <v>25904733</v>
      </c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2:35" s="50" customFormat="1" ht="18.75">
      <c r="B114" s="50" t="s">
        <v>263</v>
      </c>
      <c r="L114" s="130">
        <v>0</v>
      </c>
      <c r="M114" s="2"/>
      <c r="N114" s="130">
        <v>0</v>
      </c>
      <c r="O114" s="2"/>
      <c r="P114" s="130">
        <v>0</v>
      </c>
      <c r="Q114" s="2"/>
      <c r="R114" s="130">
        <f>'PL-T'!K113</f>
        <v>2340460</v>
      </c>
      <c r="S114" s="2"/>
      <c r="T114" s="130">
        <v>0</v>
      </c>
      <c r="U114" s="2"/>
      <c r="V114" s="130">
        <v>0</v>
      </c>
      <c r="W114" s="2"/>
      <c r="X114" s="132">
        <f>SUM(T114:W114)</f>
        <v>0</v>
      </c>
      <c r="Y114" s="2"/>
      <c r="Z114" s="130">
        <f>SUM(X114,L114:R114)</f>
        <v>2340460</v>
      </c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2:35" s="50" customFormat="1" ht="18.75">
      <c r="B115" s="50" t="s">
        <v>264</v>
      </c>
      <c r="L115" s="131">
        <v>0</v>
      </c>
      <c r="M115" s="53"/>
      <c r="N115" s="131">
        <v>0</v>
      </c>
      <c r="P115" s="131">
        <v>0</v>
      </c>
      <c r="Q115" s="66"/>
      <c r="R115" s="131">
        <v>13671</v>
      </c>
      <c r="T115" s="131">
        <v>-19627</v>
      </c>
      <c r="U115" s="66"/>
      <c r="V115" s="131">
        <v>-38940</v>
      </c>
      <c r="W115" s="49"/>
      <c r="X115" s="133">
        <f>SUM(T115:W115)</f>
        <v>-58567</v>
      </c>
      <c r="Y115" s="49"/>
      <c r="Z115" s="131">
        <f>SUM(X115,L115:R115)</f>
        <v>-44896</v>
      </c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2:35" s="50" customFormat="1" ht="18.75">
      <c r="B116" s="50" t="s">
        <v>265</v>
      </c>
      <c r="L116" s="53">
        <f>SUM(L114:L115)</f>
        <v>0</v>
      </c>
      <c r="M116" s="53"/>
      <c r="N116" s="53">
        <f>SUM(N114:N115)</f>
        <v>0</v>
      </c>
      <c r="P116" s="53">
        <f>SUM(P114:P115)</f>
        <v>0</v>
      </c>
      <c r="Q116" s="66"/>
      <c r="R116" s="53">
        <f>SUM(R114:R115)</f>
        <v>2354131</v>
      </c>
      <c r="T116" s="53">
        <f>SUM(T114:T115)</f>
        <v>-19627</v>
      </c>
      <c r="U116" s="66"/>
      <c r="V116" s="53">
        <f>SUM(V114:V115)</f>
        <v>-38940</v>
      </c>
      <c r="W116" s="49"/>
      <c r="X116" s="53">
        <f>SUM(X114:X115)</f>
        <v>-58567</v>
      </c>
      <c r="Y116" s="49"/>
      <c r="Z116" s="53">
        <f>SUM(Z114:Z115)</f>
        <v>2295564</v>
      </c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2:35" s="50" customFormat="1" ht="18.75">
      <c r="B117" s="50" t="s">
        <v>298</v>
      </c>
      <c r="L117" s="53">
        <v>0</v>
      </c>
      <c r="M117" s="53"/>
      <c r="N117" s="53">
        <v>0</v>
      </c>
      <c r="P117" s="53">
        <v>0</v>
      </c>
      <c r="Q117" s="66"/>
      <c r="R117" s="53">
        <v>-2781671</v>
      </c>
      <c r="T117" s="53">
        <v>0</v>
      </c>
      <c r="U117" s="66"/>
      <c r="V117" s="53">
        <v>0</v>
      </c>
      <c r="W117" s="49"/>
      <c r="X117" s="53">
        <f>SUM(T117:W117)</f>
        <v>0</v>
      </c>
      <c r="Y117" s="49"/>
      <c r="Z117" s="53">
        <f>SUM(X117,L117:R117)</f>
        <v>-2781671</v>
      </c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2:35" s="50" customFormat="1" ht="19.5" thickBot="1">
      <c r="B118" s="51" t="s">
        <v>309</v>
      </c>
      <c r="C118" s="51"/>
      <c r="E118" s="51"/>
      <c r="L118" s="67">
        <f>SUM(L113:L115)+L117</f>
        <v>1545459</v>
      </c>
      <c r="M118" s="53"/>
      <c r="N118" s="67">
        <f>SUM(N113:N115)+N117</f>
        <v>19959574</v>
      </c>
      <c r="P118" s="67">
        <f>SUM(P113:P115)+P117</f>
        <v>170000</v>
      </c>
      <c r="Q118" s="53"/>
      <c r="R118" s="67">
        <f>SUM(R113:R115)+R117</f>
        <v>3008624</v>
      </c>
      <c r="T118" s="67">
        <f>SUM(T113:T115)+T117</f>
        <v>-16065</v>
      </c>
      <c r="U118" s="53"/>
      <c r="V118" s="67">
        <f>SUM(V113:V115)+V117</f>
        <v>751034</v>
      </c>
      <c r="W118" s="49"/>
      <c r="X118" s="67">
        <f>SUM(X113:X115)+X117</f>
        <v>734969</v>
      </c>
      <c r="Y118" s="49"/>
      <c r="Z118" s="67">
        <f>SUM(Z113:Z115)+Z117</f>
        <v>25418626</v>
      </c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2:39" s="50" customFormat="1" ht="19.5" thickTop="1">
      <c r="B119" s="51"/>
      <c r="C119" s="51"/>
      <c r="E119" s="51"/>
      <c r="L119" s="68"/>
      <c r="M119" s="68"/>
      <c r="N119" s="53"/>
      <c r="O119" s="53"/>
      <c r="P119" s="53"/>
      <c r="R119" s="53"/>
      <c r="S119" s="53"/>
      <c r="T119" s="53"/>
      <c r="V119" s="53"/>
      <c r="W119" s="53"/>
      <c r="X119" s="53"/>
      <c r="Y119" s="53"/>
      <c r="Z119" s="53"/>
      <c r="AA119" s="49"/>
      <c r="AB119" s="53"/>
      <c r="AC119" s="49"/>
      <c r="AD119" s="53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2:39" ht="18.75">
      <c r="B120" s="50" t="s">
        <v>40</v>
      </c>
      <c r="C120" s="50"/>
      <c r="E120" s="50"/>
      <c r="AL120" s="55"/>
      <c r="AM120" s="55"/>
    </row>
    <row r="121" spans="2:39" ht="18.75">
      <c r="B121" s="50"/>
      <c r="C121" s="50"/>
      <c r="E121" s="50"/>
      <c r="AL121" s="55"/>
      <c r="AM121" s="55"/>
    </row>
    <row r="122" spans="2:39" ht="18.75">
      <c r="B122" s="50"/>
      <c r="C122" s="50"/>
      <c r="E122" s="50"/>
      <c r="AL122" s="55"/>
      <c r="AM122" s="55"/>
    </row>
    <row r="123" spans="2:39" ht="18.75">
      <c r="B123" s="50"/>
      <c r="C123" s="50"/>
      <c r="E123" s="50"/>
      <c r="AL123" s="55"/>
      <c r="AM123" s="55"/>
    </row>
    <row r="124" spans="2:39" ht="18.75">
      <c r="B124" s="50"/>
      <c r="C124" s="50"/>
      <c r="E124" s="50"/>
      <c r="AL124" s="55"/>
      <c r="AM124" s="55"/>
    </row>
    <row r="125" spans="4:37" s="190" customFormat="1" ht="26.25"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C125" s="187"/>
      <c r="AD125" s="187">
        <v>10</v>
      </c>
      <c r="AE125" s="187"/>
      <c r="AF125" s="187"/>
      <c r="AG125" s="187"/>
      <c r="AH125" s="187"/>
      <c r="AI125" s="187"/>
      <c r="AJ125" s="187"/>
      <c r="AK125" s="187"/>
    </row>
    <row r="126" spans="4:37" s="190" customFormat="1" ht="26.25"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</row>
  </sheetData>
  <sheetProtection/>
  <mergeCells count="9">
    <mergeCell ref="D7:Z7"/>
    <mergeCell ref="N8:X8"/>
    <mergeCell ref="D49:Z49"/>
    <mergeCell ref="N50:X50"/>
    <mergeCell ref="T91:X91"/>
    <mergeCell ref="N51:T51"/>
    <mergeCell ref="J53:L53"/>
    <mergeCell ref="J11:L11"/>
    <mergeCell ref="N9:T9"/>
  </mergeCells>
  <printOptions horizontalCentered="1"/>
  <pageMargins left="0.31496062992126" right="0.23" top="0.708661417322835" bottom="0.196850393700787" header="0.196850393700787" footer="0.196850393700787"/>
  <pageSetup firstPageNumber="3" useFirstPageNumber="1" horizontalDpi="600" verticalDpi="600" orientation="landscape" paperSize="9" scale="70" r:id="rId1"/>
  <rowBreaks count="2" manualBreakCount="2">
    <brk id="42" max="255" man="1"/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">
      <selection activeCell="A1" sqref="A1:X1"/>
    </sheetView>
  </sheetViews>
  <sheetFormatPr defaultColWidth="8.00390625" defaultRowHeight="21.75"/>
  <cols>
    <col min="1" max="1" width="36.28125" style="6" customWidth="1"/>
    <col min="2" max="2" width="7.28125" style="6" customWidth="1"/>
    <col min="3" max="3" width="1.7109375" style="6" customWidth="1"/>
    <col min="4" max="4" width="12.7109375" style="6" customWidth="1"/>
    <col min="5" max="5" width="1.7109375" style="6" customWidth="1"/>
    <col min="6" max="6" width="12.7109375" style="6" customWidth="1"/>
    <col min="7" max="7" width="1.7109375" style="6" customWidth="1"/>
    <col min="8" max="8" width="12.7109375" style="6" customWidth="1"/>
    <col min="9" max="9" width="1.7109375" style="6" customWidth="1"/>
    <col min="10" max="10" width="12.7109375" style="6" customWidth="1"/>
    <col min="11" max="11" width="1.7109375" style="6" customWidth="1"/>
    <col min="12" max="12" width="12.7109375" style="6" customWidth="1"/>
    <col min="13" max="13" width="1.7109375" style="6" customWidth="1"/>
    <col min="14" max="14" width="12.7109375" style="6" customWidth="1"/>
    <col min="15" max="15" width="1.7109375" style="6" customWidth="1"/>
    <col min="16" max="16" width="12.7109375" style="6" customWidth="1"/>
    <col min="17" max="17" width="1.7109375" style="6" customWidth="1"/>
    <col min="18" max="18" width="12.7109375" style="6" customWidth="1"/>
    <col min="19" max="19" width="1.7109375" style="6" customWidth="1"/>
    <col min="20" max="20" width="12.7109375" style="6" customWidth="1"/>
    <col min="21" max="21" width="1.7109375" style="6" customWidth="1"/>
    <col min="22" max="22" width="12.7109375" style="6" customWidth="1"/>
    <col min="23" max="23" width="1.7109375" style="6" customWidth="1"/>
    <col min="24" max="24" width="12.7109375" style="6" customWidth="1"/>
    <col min="25" max="25" width="1.7109375" style="6" customWidth="1"/>
    <col min="26" max="16384" width="8.00390625" style="6" customWidth="1"/>
  </cols>
  <sheetData>
    <row r="1" spans="1:24" ht="18">
      <c r="A1" s="195" t="s">
        <v>41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4" ht="18">
      <c r="A2" s="195" t="s">
        <v>30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</row>
    <row r="3" spans="1:24" ht="18">
      <c r="A3" s="195" t="s">
        <v>99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</row>
    <row r="4" spans="5:24" s="8" customFormat="1" ht="18">
      <c r="E4" s="9"/>
      <c r="X4" s="10" t="s">
        <v>58</v>
      </c>
    </row>
    <row r="5" spans="3:24" ht="18">
      <c r="C5" s="8"/>
      <c r="D5" s="196" t="s">
        <v>33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</row>
    <row r="6" spans="2:23" s="7" customFormat="1" ht="18">
      <c r="B6" s="9"/>
      <c r="C6" s="9"/>
      <c r="D6" s="9"/>
      <c r="E6" s="9"/>
      <c r="F6" s="194" t="s">
        <v>38</v>
      </c>
      <c r="G6" s="194"/>
      <c r="H6" s="194"/>
      <c r="I6" s="194"/>
      <c r="J6" s="194"/>
      <c r="K6" s="194"/>
      <c r="L6" s="194"/>
      <c r="N6" s="9"/>
      <c r="P6" s="7" t="s">
        <v>81</v>
      </c>
      <c r="R6" s="194" t="s">
        <v>47</v>
      </c>
      <c r="S6" s="194"/>
      <c r="T6" s="194"/>
      <c r="U6" s="9"/>
      <c r="V6" s="7" t="s">
        <v>34</v>
      </c>
      <c r="W6" s="9"/>
    </row>
    <row r="7" spans="4:22" s="7" customFormat="1" ht="18">
      <c r="D7" s="7" t="s">
        <v>10</v>
      </c>
      <c r="H7" s="7" t="s">
        <v>73</v>
      </c>
      <c r="J7" s="7" t="s">
        <v>38</v>
      </c>
      <c r="L7" s="7" t="s">
        <v>82</v>
      </c>
      <c r="O7" s="9"/>
      <c r="P7" s="7" t="s">
        <v>83</v>
      </c>
      <c r="Q7" s="9"/>
      <c r="R7" s="7" t="s">
        <v>84</v>
      </c>
      <c r="V7" s="7" t="s">
        <v>35</v>
      </c>
    </row>
    <row r="8" spans="4:22" s="7" customFormat="1" ht="18">
      <c r="D8" s="7" t="s">
        <v>27</v>
      </c>
      <c r="F8" s="7" t="s">
        <v>85</v>
      </c>
      <c r="H8" s="7" t="s">
        <v>74</v>
      </c>
      <c r="J8" s="7" t="s">
        <v>86</v>
      </c>
      <c r="L8" s="7" t="s">
        <v>87</v>
      </c>
      <c r="N8" s="7" t="s">
        <v>82</v>
      </c>
      <c r="P8" s="7" t="s">
        <v>88</v>
      </c>
      <c r="R8" s="7" t="s">
        <v>57</v>
      </c>
      <c r="V8" s="7" t="s">
        <v>36</v>
      </c>
    </row>
    <row r="9" spans="2:24" s="7" customFormat="1" ht="18">
      <c r="B9" s="12" t="s">
        <v>26</v>
      </c>
      <c r="D9" s="11" t="s">
        <v>28</v>
      </c>
      <c r="F9" s="11" t="s">
        <v>89</v>
      </c>
      <c r="H9" s="11" t="s">
        <v>67</v>
      </c>
      <c r="J9" s="11" t="s">
        <v>113</v>
      </c>
      <c r="K9" s="9"/>
      <c r="L9" s="11" t="s">
        <v>90</v>
      </c>
      <c r="N9" s="11" t="s">
        <v>98</v>
      </c>
      <c r="P9" s="11" t="s">
        <v>91</v>
      </c>
      <c r="R9" s="11" t="s">
        <v>56</v>
      </c>
      <c r="S9" s="9"/>
      <c r="T9" s="11" t="s">
        <v>21</v>
      </c>
      <c r="V9" s="11" t="s">
        <v>96</v>
      </c>
      <c r="X9" s="11" t="s">
        <v>23</v>
      </c>
    </row>
    <row r="10" spans="1:24" s="15" customFormat="1" ht="18">
      <c r="A10" s="13" t="s">
        <v>101</v>
      </c>
      <c r="B10" s="33"/>
      <c r="C10" s="13"/>
      <c r="D10" s="17">
        <v>1163410108</v>
      </c>
      <c r="E10" s="14"/>
      <c r="F10" s="17">
        <v>4322607094</v>
      </c>
      <c r="G10" s="14"/>
      <c r="H10" s="17">
        <v>254659742</v>
      </c>
      <c r="I10" s="14"/>
      <c r="J10" s="17">
        <v>963796488</v>
      </c>
      <c r="K10" s="14"/>
      <c r="L10" s="18" t="s">
        <v>55</v>
      </c>
      <c r="N10" s="18" t="s">
        <v>55</v>
      </c>
      <c r="O10" s="14"/>
      <c r="P10" s="18" t="s">
        <v>55</v>
      </c>
      <c r="Q10" s="14"/>
      <c r="R10" s="17">
        <v>118341011</v>
      </c>
      <c r="S10" s="14"/>
      <c r="T10" s="17">
        <v>1066783257</v>
      </c>
      <c r="V10" s="17">
        <v>527940540</v>
      </c>
      <c r="W10" s="16"/>
      <c r="X10" s="17">
        <v>8417538240</v>
      </c>
    </row>
    <row r="11" spans="1:26" s="1" customFormat="1" ht="18" customHeight="1">
      <c r="A11" s="15" t="s">
        <v>109</v>
      </c>
      <c r="B11" s="34"/>
      <c r="C11" s="34"/>
      <c r="D11" s="4"/>
      <c r="E11" s="4"/>
      <c r="F11" s="4"/>
      <c r="G11" s="4"/>
      <c r="H11" s="4"/>
      <c r="I11" s="4"/>
      <c r="J11" s="4"/>
      <c r="K11" s="4"/>
      <c r="L11" s="4"/>
      <c r="M11" s="35"/>
      <c r="N11" s="35"/>
      <c r="O11" s="35"/>
      <c r="P11" s="4"/>
      <c r="Q11" s="4"/>
      <c r="R11" s="4"/>
      <c r="S11" s="4"/>
      <c r="T11" s="4"/>
      <c r="U11" s="4"/>
      <c r="V11" s="5"/>
      <c r="W11" s="4"/>
      <c r="X11" s="4"/>
      <c r="Y11" s="4"/>
      <c r="Z11" s="4"/>
    </row>
    <row r="12" spans="1:26" s="1" customFormat="1" ht="18" customHeight="1">
      <c r="A12" s="15" t="s">
        <v>103</v>
      </c>
      <c r="B12" s="3"/>
      <c r="C12" s="34"/>
      <c r="D12" s="45" t="s">
        <v>55</v>
      </c>
      <c r="E12" s="4"/>
      <c r="F12" s="45" t="s">
        <v>55</v>
      </c>
      <c r="G12" s="46"/>
      <c r="H12" s="45" t="s">
        <v>55</v>
      </c>
      <c r="I12" s="46"/>
      <c r="J12" s="48">
        <v>-224303021</v>
      </c>
      <c r="K12" s="46"/>
      <c r="L12" s="45" t="s">
        <v>55</v>
      </c>
      <c r="M12" s="47"/>
      <c r="N12" s="45" t="s">
        <v>55</v>
      </c>
      <c r="O12" s="47"/>
      <c r="P12" s="45" t="s">
        <v>55</v>
      </c>
      <c r="Q12" s="47"/>
      <c r="R12" s="45" t="s">
        <v>55</v>
      </c>
      <c r="S12" s="47"/>
      <c r="T12" s="45" t="s">
        <v>55</v>
      </c>
      <c r="U12" s="46"/>
      <c r="V12" s="45" t="s">
        <v>55</v>
      </c>
      <c r="W12" s="47"/>
      <c r="X12" s="48">
        <f>SUM(D12:V12)</f>
        <v>-224303021</v>
      </c>
      <c r="Y12" s="4"/>
      <c r="Z12" s="4"/>
    </row>
    <row r="13" spans="1:26" s="15" customFormat="1" ht="18" customHeight="1">
      <c r="A13" s="13" t="s">
        <v>104</v>
      </c>
      <c r="B13" s="13"/>
      <c r="C13" s="13"/>
      <c r="D13" s="46">
        <f>SUM(D10:D12)</f>
        <v>1163410108</v>
      </c>
      <c r="E13" s="46"/>
      <c r="F13" s="46">
        <f>SUM(F10:F12)</f>
        <v>4322607094</v>
      </c>
      <c r="G13" s="46"/>
      <c r="H13" s="46">
        <f>SUM(H10:H12)</f>
        <v>254659742</v>
      </c>
      <c r="I13" s="46"/>
      <c r="J13" s="46">
        <f>SUM(J10:J12)</f>
        <v>739493467</v>
      </c>
      <c r="K13" s="46"/>
      <c r="L13" s="18" t="s">
        <v>55</v>
      </c>
      <c r="M13" s="46"/>
      <c r="N13" s="18" t="s">
        <v>55</v>
      </c>
      <c r="O13" s="46"/>
      <c r="P13" s="18" t="s">
        <v>55</v>
      </c>
      <c r="Q13" s="46"/>
      <c r="R13" s="46">
        <f>SUM(R10:R12)</f>
        <v>118341011</v>
      </c>
      <c r="S13" s="46"/>
      <c r="T13" s="46">
        <f>SUM(T10:T12)</f>
        <v>1066783257</v>
      </c>
      <c r="U13" s="46"/>
      <c r="V13" s="46">
        <f>SUM(V10:V12)</f>
        <v>527940540</v>
      </c>
      <c r="W13" s="46"/>
      <c r="X13" s="46">
        <f>SUM(X10:X12)</f>
        <v>8193235219</v>
      </c>
      <c r="Y13" s="46"/>
      <c r="Z13" s="46"/>
    </row>
    <row r="14" spans="1:24" s="20" customFormat="1" ht="18">
      <c r="A14" s="20" t="s">
        <v>69</v>
      </c>
      <c r="B14" s="23"/>
      <c r="D14" s="18" t="s">
        <v>55</v>
      </c>
      <c r="E14" s="19"/>
      <c r="F14" s="18" t="s">
        <v>55</v>
      </c>
      <c r="G14" s="19"/>
      <c r="H14" s="21">
        <v>424477602</v>
      </c>
      <c r="I14" s="19"/>
      <c r="J14" s="18" t="s">
        <v>55</v>
      </c>
      <c r="L14" s="18" t="s">
        <v>55</v>
      </c>
      <c r="N14" s="18" t="s">
        <v>55</v>
      </c>
      <c r="P14" s="18" t="s">
        <v>55</v>
      </c>
      <c r="R14" s="18" t="s">
        <v>55</v>
      </c>
      <c r="S14" s="19"/>
      <c r="T14" s="18" t="s">
        <v>55</v>
      </c>
      <c r="U14" s="19"/>
      <c r="V14" s="18" t="s">
        <v>55</v>
      </c>
      <c r="W14" s="22"/>
      <c r="X14" s="19">
        <f aca="true" t="shared" si="0" ref="X14:X19">SUM(D14:V14)</f>
        <v>424477602</v>
      </c>
    </row>
    <row r="15" spans="1:24" s="20" customFormat="1" ht="18">
      <c r="A15" s="20" t="s">
        <v>92</v>
      </c>
      <c r="B15" s="23">
        <v>33</v>
      </c>
      <c r="D15" s="18">
        <v>17627692</v>
      </c>
      <c r="E15" s="19"/>
      <c r="F15" s="18" t="s">
        <v>55</v>
      </c>
      <c r="G15" s="19"/>
      <c r="H15" s="18" t="s">
        <v>55</v>
      </c>
      <c r="I15" s="19"/>
      <c r="J15" s="18" t="s">
        <v>55</v>
      </c>
      <c r="L15" s="18" t="s">
        <v>55</v>
      </c>
      <c r="N15" s="18" t="s">
        <v>55</v>
      </c>
      <c r="P15" s="18" t="s">
        <v>55</v>
      </c>
      <c r="R15" s="18" t="s">
        <v>55</v>
      </c>
      <c r="S15" s="19"/>
      <c r="T15" s="18" t="s">
        <v>55</v>
      </c>
      <c r="U15" s="19"/>
      <c r="V15" s="18" t="s">
        <v>55</v>
      </c>
      <c r="W15" s="22"/>
      <c r="X15" s="19">
        <f t="shared" si="0"/>
        <v>17627692</v>
      </c>
    </row>
    <row r="16" spans="1:24" s="20" customFormat="1" ht="18">
      <c r="A16" s="20" t="s">
        <v>93</v>
      </c>
      <c r="B16" s="23">
        <v>33</v>
      </c>
      <c r="D16" s="18" t="s">
        <v>55</v>
      </c>
      <c r="E16" s="19"/>
      <c r="F16" s="21">
        <v>302484263</v>
      </c>
      <c r="G16" s="19"/>
      <c r="H16" s="18" t="s">
        <v>55</v>
      </c>
      <c r="I16" s="19"/>
      <c r="J16" s="18" t="s">
        <v>55</v>
      </c>
      <c r="L16" s="18" t="s">
        <v>55</v>
      </c>
      <c r="N16" s="18" t="s">
        <v>55</v>
      </c>
      <c r="P16" s="18" t="s">
        <v>55</v>
      </c>
      <c r="R16" s="18" t="s">
        <v>55</v>
      </c>
      <c r="S16" s="19"/>
      <c r="T16" s="18" t="s">
        <v>55</v>
      </c>
      <c r="U16" s="19"/>
      <c r="V16" s="18" t="s">
        <v>55</v>
      </c>
      <c r="W16" s="22"/>
      <c r="X16" s="19">
        <f t="shared" si="0"/>
        <v>302484263</v>
      </c>
    </row>
    <row r="17" spans="1:24" s="20" customFormat="1" ht="18">
      <c r="A17" s="20" t="s">
        <v>79</v>
      </c>
      <c r="B17" s="23">
        <v>33</v>
      </c>
      <c r="D17" s="18" t="s">
        <v>55</v>
      </c>
      <c r="E17" s="19"/>
      <c r="F17" s="18" t="s">
        <v>55</v>
      </c>
      <c r="G17" s="19"/>
      <c r="H17" s="18" t="s">
        <v>55</v>
      </c>
      <c r="I17" s="19"/>
      <c r="J17" s="18" t="s">
        <v>55</v>
      </c>
      <c r="L17" s="21">
        <v>305000325</v>
      </c>
      <c r="N17" s="18" t="s">
        <v>55</v>
      </c>
      <c r="P17" s="18" t="s">
        <v>55</v>
      </c>
      <c r="R17" s="18" t="s">
        <v>55</v>
      </c>
      <c r="S17" s="19"/>
      <c r="T17" s="18" t="s">
        <v>55</v>
      </c>
      <c r="U17" s="19"/>
      <c r="V17" s="18" t="s">
        <v>55</v>
      </c>
      <c r="W17" s="19"/>
      <c r="X17" s="19">
        <f t="shared" si="0"/>
        <v>305000325</v>
      </c>
    </row>
    <row r="18" spans="1:24" s="20" customFormat="1" ht="18">
      <c r="A18" s="20" t="s">
        <v>97</v>
      </c>
      <c r="B18" s="23"/>
      <c r="D18" s="18" t="s">
        <v>55</v>
      </c>
      <c r="E18" s="19"/>
      <c r="F18" s="18" t="s">
        <v>55</v>
      </c>
      <c r="G18" s="19"/>
      <c r="H18" s="18" t="s">
        <v>55</v>
      </c>
      <c r="I18" s="19"/>
      <c r="J18" s="18" t="s">
        <v>55</v>
      </c>
      <c r="L18" s="18" t="s">
        <v>55</v>
      </c>
      <c r="N18" s="18">
        <v>-19963214</v>
      </c>
      <c r="P18" s="18" t="s">
        <v>55</v>
      </c>
      <c r="R18" s="18" t="s">
        <v>55</v>
      </c>
      <c r="T18" s="18" t="s">
        <v>55</v>
      </c>
      <c r="U18" s="24"/>
      <c r="V18" s="18" t="s">
        <v>55</v>
      </c>
      <c r="W18" s="24"/>
      <c r="X18" s="19">
        <f t="shared" si="0"/>
        <v>-19963214</v>
      </c>
    </row>
    <row r="19" spans="1:24" s="20" customFormat="1" ht="18">
      <c r="A19" s="20" t="s">
        <v>80</v>
      </c>
      <c r="B19" s="23">
        <v>32</v>
      </c>
      <c r="D19" s="18" t="s">
        <v>55</v>
      </c>
      <c r="E19" s="19"/>
      <c r="F19" s="18" t="s">
        <v>55</v>
      </c>
      <c r="G19" s="19"/>
      <c r="H19" s="18" t="s">
        <v>55</v>
      </c>
      <c r="I19" s="19"/>
      <c r="J19" s="18" t="s">
        <v>55</v>
      </c>
      <c r="L19" s="18" t="s">
        <v>55</v>
      </c>
      <c r="N19" s="18" t="s">
        <v>55</v>
      </c>
      <c r="P19" s="14">
        <v>50062520</v>
      </c>
      <c r="R19" s="18" t="s">
        <v>55</v>
      </c>
      <c r="S19" s="19"/>
      <c r="T19" s="18" t="s">
        <v>55</v>
      </c>
      <c r="U19" s="19"/>
      <c r="V19" s="18" t="s">
        <v>55</v>
      </c>
      <c r="W19" s="19"/>
      <c r="X19" s="19">
        <f t="shared" si="0"/>
        <v>50062520</v>
      </c>
    </row>
    <row r="20" spans="1:24" s="20" customFormat="1" ht="18">
      <c r="A20" s="20" t="s">
        <v>68</v>
      </c>
      <c r="B20" s="23">
        <v>24</v>
      </c>
      <c r="D20" s="18" t="s">
        <v>55</v>
      </c>
      <c r="E20" s="19"/>
      <c r="F20" s="18" t="s">
        <v>55</v>
      </c>
      <c r="G20" s="19"/>
      <c r="H20" s="18" t="s">
        <v>55</v>
      </c>
      <c r="I20" s="19"/>
      <c r="J20" s="18" t="s">
        <v>55</v>
      </c>
      <c r="L20" s="18" t="s">
        <v>55</v>
      </c>
      <c r="N20" s="18" t="s">
        <v>55</v>
      </c>
      <c r="P20" s="18" t="s">
        <v>55</v>
      </c>
      <c r="R20" s="14">
        <v>12885411</v>
      </c>
      <c r="S20" s="19"/>
      <c r="T20" s="18">
        <v>-12885411</v>
      </c>
      <c r="U20" s="19"/>
      <c r="V20" s="18" t="s">
        <v>55</v>
      </c>
      <c r="W20" s="19"/>
      <c r="X20" s="18" t="s">
        <v>55</v>
      </c>
    </row>
    <row r="21" spans="1:24" s="20" customFormat="1" ht="18">
      <c r="A21" s="20" t="s">
        <v>70</v>
      </c>
      <c r="B21" s="23"/>
      <c r="D21" s="18" t="s">
        <v>55</v>
      </c>
      <c r="E21" s="19"/>
      <c r="F21" s="18" t="s">
        <v>55</v>
      </c>
      <c r="G21" s="19"/>
      <c r="H21" s="18" t="s">
        <v>55</v>
      </c>
      <c r="I21" s="19"/>
      <c r="J21" s="18" t="s">
        <v>55</v>
      </c>
      <c r="K21" s="19"/>
      <c r="L21" s="18" t="s">
        <v>55</v>
      </c>
      <c r="M21" s="25"/>
      <c r="N21" s="18" t="s">
        <v>55</v>
      </c>
      <c r="O21" s="25"/>
      <c r="P21" s="18" t="s">
        <v>55</v>
      </c>
      <c r="Q21" s="25"/>
      <c r="R21" s="18" t="s">
        <v>55</v>
      </c>
      <c r="S21" s="19"/>
      <c r="T21" s="21" t="e">
        <f>'BS&amp;PL'!#REF!</f>
        <v>#REF!</v>
      </c>
      <c r="U21" s="19"/>
      <c r="V21" s="18" t="s">
        <v>55</v>
      </c>
      <c r="W21" s="19"/>
      <c r="X21" s="19" t="e">
        <f>SUM(D21:V21)</f>
        <v>#REF!</v>
      </c>
    </row>
    <row r="22" spans="1:24" s="20" customFormat="1" ht="18">
      <c r="A22" s="20" t="s">
        <v>53</v>
      </c>
      <c r="B22" s="23">
        <v>23</v>
      </c>
      <c r="D22" s="18" t="s">
        <v>55</v>
      </c>
      <c r="E22" s="19"/>
      <c r="F22" s="18" t="s">
        <v>55</v>
      </c>
      <c r="G22" s="19"/>
      <c r="H22" s="18" t="s">
        <v>55</v>
      </c>
      <c r="I22" s="19"/>
      <c r="J22" s="18" t="s">
        <v>55</v>
      </c>
      <c r="L22" s="18" t="s">
        <v>55</v>
      </c>
      <c r="N22" s="18" t="s">
        <v>55</v>
      </c>
      <c r="P22" s="18" t="s">
        <v>55</v>
      </c>
      <c r="R22" s="18" t="s">
        <v>55</v>
      </c>
      <c r="S22" s="19"/>
      <c r="T22" s="21">
        <v>-590518900</v>
      </c>
      <c r="U22" s="24"/>
      <c r="V22" s="18" t="s">
        <v>55</v>
      </c>
      <c r="W22" s="24"/>
      <c r="X22" s="19">
        <f>SUM(D22:V22)</f>
        <v>-590518900</v>
      </c>
    </row>
    <row r="23" spans="1:24" s="20" customFormat="1" ht="18">
      <c r="A23" s="20" t="s">
        <v>110</v>
      </c>
      <c r="D23" s="18" t="s">
        <v>55</v>
      </c>
      <c r="E23" s="19"/>
      <c r="F23" s="18" t="s">
        <v>55</v>
      </c>
      <c r="G23" s="19"/>
      <c r="H23" s="18" t="s">
        <v>55</v>
      </c>
      <c r="I23" s="19"/>
      <c r="J23" s="18" t="s">
        <v>55</v>
      </c>
      <c r="L23" s="18" t="s">
        <v>55</v>
      </c>
      <c r="N23" s="18" t="s">
        <v>55</v>
      </c>
      <c r="P23" s="18" t="s">
        <v>55</v>
      </c>
      <c r="R23" s="18" t="s">
        <v>55</v>
      </c>
      <c r="S23" s="19"/>
      <c r="T23" s="18" t="s">
        <v>55</v>
      </c>
      <c r="U23" s="19"/>
      <c r="V23" s="26">
        <v>-20961163</v>
      </c>
      <c r="W23" s="24"/>
      <c r="X23" s="19">
        <f>SUM(D23:V23)</f>
        <v>-20961163</v>
      </c>
    </row>
    <row r="24" spans="1:24" s="20" customFormat="1" ht="18.75" thickBot="1">
      <c r="A24" s="13" t="s">
        <v>78</v>
      </c>
      <c r="B24" s="27"/>
      <c r="C24" s="27"/>
      <c r="D24" s="28">
        <f>SUM(D13:D23)</f>
        <v>1181037800</v>
      </c>
      <c r="E24" s="19"/>
      <c r="F24" s="28">
        <f>SUM(F13:F23)</f>
        <v>4625091357</v>
      </c>
      <c r="G24" s="19"/>
      <c r="H24" s="28">
        <f>SUM(H13:H23)</f>
        <v>679137344</v>
      </c>
      <c r="I24" s="19"/>
      <c r="J24" s="28">
        <f>SUM(J13:J23)</f>
        <v>739493467</v>
      </c>
      <c r="K24" s="19"/>
      <c r="L24" s="28">
        <f>SUM(L13:L23)</f>
        <v>305000325</v>
      </c>
      <c r="N24" s="28">
        <f>SUM(N13:N23)</f>
        <v>-19963214</v>
      </c>
      <c r="P24" s="28">
        <f>SUM(P13:P23)</f>
        <v>50062520</v>
      </c>
      <c r="R24" s="28">
        <f>SUM(R13:R23)</f>
        <v>131226422</v>
      </c>
      <c r="S24" s="19"/>
      <c r="T24" s="28" t="e">
        <f>SUM(T13:T23)</f>
        <v>#REF!</v>
      </c>
      <c r="U24" s="19"/>
      <c r="V24" s="28">
        <f>SUM(V13:V23)</f>
        <v>506979377</v>
      </c>
      <c r="W24" s="22"/>
      <c r="X24" s="28" t="e">
        <f>SUM(X13:X23)</f>
        <v>#REF!</v>
      </c>
    </row>
    <row r="25" spans="1:24" s="20" customFormat="1" ht="18.75" thickTop="1">
      <c r="A25" s="13"/>
      <c r="B25" s="27"/>
      <c r="C25" s="27"/>
      <c r="D25" s="19"/>
      <c r="E25" s="19"/>
      <c r="F25" s="19"/>
      <c r="G25" s="19"/>
      <c r="H25" s="19"/>
      <c r="I25" s="19"/>
      <c r="J25" s="19"/>
      <c r="K25" s="19"/>
      <c r="L25" s="19"/>
      <c r="N25" s="19"/>
      <c r="P25" s="19"/>
      <c r="R25" s="19"/>
      <c r="S25" s="19"/>
      <c r="T25" s="19"/>
      <c r="U25" s="19"/>
      <c r="V25" s="19"/>
      <c r="W25" s="22"/>
      <c r="X25" s="19"/>
    </row>
    <row r="26" spans="1:24" s="20" customFormat="1" ht="18">
      <c r="A26" s="13" t="s">
        <v>117</v>
      </c>
      <c r="B26" s="27"/>
      <c r="C26" s="27"/>
      <c r="D26" s="19">
        <v>1181037800</v>
      </c>
      <c r="E26" s="19"/>
      <c r="F26" s="19">
        <v>4625091357</v>
      </c>
      <c r="G26" s="19"/>
      <c r="H26" s="19">
        <v>679137344</v>
      </c>
      <c r="I26" s="19"/>
      <c r="J26" s="19">
        <v>982615188</v>
      </c>
      <c r="K26" s="19"/>
      <c r="L26" s="19">
        <v>305000325</v>
      </c>
      <c r="N26" s="19">
        <v>-19963214</v>
      </c>
      <c r="P26" s="19">
        <v>50062520</v>
      </c>
      <c r="R26" s="19">
        <v>131226422</v>
      </c>
      <c r="S26" s="19"/>
      <c r="T26" s="19">
        <v>1786066031</v>
      </c>
      <c r="U26" s="19"/>
      <c r="V26" s="19">
        <v>506979377</v>
      </c>
      <c r="W26" s="22"/>
      <c r="X26" s="19">
        <f>SUM(D26:V26)</f>
        <v>10227253150</v>
      </c>
    </row>
    <row r="27" spans="1:24" s="20" customFormat="1" ht="18">
      <c r="A27" s="15" t="s">
        <v>109</v>
      </c>
      <c r="B27" s="27"/>
      <c r="C27" s="27"/>
      <c r="D27" s="19"/>
      <c r="E27" s="19"/>
      <c r="F27" s="19"/>
      <c r="G27" s="19"/>
      <c r="H27" s="19"/>
      <c r="I27" s="19"/>
      <c r="J27" s="19"/>
      <c r="K27" s="19"/>
      <c r="L27" s="19"/>
      <c r="N27" s="19"/>
      <c r="P27" s="19"/>
      <c r="R27" s="19"/>
      <c r="S27" s="19"/>
      <c r="T27" s="19"/>
      <c r="U27" s="19"/>
      <c r="V27" s="19"/>
      <c r="W27" s="22"/>
      <c r="X27" s="19"/>
    </row>
    <row r="28" spans="1:24" s="20" customFormat="1" ht="18.75">
      <c r="A28" s="15" t="s">
        <v>103</v>
      </c>
      <c r="B28" s="27"/>
      <c r="C28" s="27"/>
      <c r="D28" s="45" t="s">
        <v>55</v>
      </c>
      <c r="E28" s="4"/>
      <c r="F28" s="45" t="s">
        <v>55</v>
      </c>
      <c r="G28" s="46"/>
      <c r="H28" s="45" t="s">
        <v>55</v>
      </c>
      <c r="I28" s="46"/>
      <c r="J28" s="48">
        <f>J29-J26</f>
        <v>-243121721</v>
      </c>
      <c r="K28" s="46"/>
      <c r="L28" s="45" t="s">
        <v>55</v>
      </c>
      <c r="M28" s="47"/>
      <c r="N28" s="45" t="s">
        <v>55</v>
      </c>
      <c r="O28" s="47"/>
      <c r="P28" s="45" t="s">
        <v>55</v>
      </c>
      <c r="Q28" s="47"/>
      <c r="R28" s="45" t="s">
        <v>55</v>
      </c>
      <c r="S28" s="47"/>
      <c r="T28" s="45" t="s">
        <v>55</v>
      </c>
      <c r="U28" s="46"/>
      <c r="V28" s="45" t="s">
        <v>55</v>
      </c>
      <c r="W28" s="47"/>
      <c r="X28" s="48">
        <f>SUM(D28:V28)</f>
        <v>-243121721</v>
      </c>
    </row>
    <row r="29" spans="1:24" s="20" customFormat="1" ht="18">
      <c r="A29" s="13" t="s">
        <v>111</v>
      </c>
      <c r="B29" s="27"/>
      <c r="C29" s="27"/>
      <c r="D29" s="19">
        <v>1181037800</v>
      </c>
      <c r="E29" s="19"/>
      <c r="F29" s="19">
        <v>4625091357</v>
      </c>
      <c r="G29" s="19"/>
      <c r="H29" s="19">
        <v>679137344</v>
      </c>
      <c r="I29" s="19"/>
      <c r="J29" s="19">
        <v>739493467</v>
      </c>
      <c r="K29" s="19"/>
      <c r="L29" s="19">
        <v>305000325</v>
      </c>
      <c r="N29" s="19">
        <v>-19963214</v>
      </c>
      <c r="P29" s="19">
        <v>50062520</v>
      </c>
      <c r="R29" s="19">
        <v>131226422</v>
      </c>
      <c r="S29" s="19"/>
      <c r="T29" s="19">
        <v>1786066031</v>
      </c>
      <c r="U29" s="19"/>
      <c r="V29" s="19">
        <v>506979377</v>
      </c>
      <c r="W29" s="22"/>
      <c r="X29" s="19">
        <v>9984131429</v>
      </c>
    </row>
    <row r="30" spans="1:24" s="20" customFormat="1" ht="18">
      <c r="A30" s="20" t="s">
        <v>69</v>
      </c>
      <c r="B30" s="23"/>
      <c r="D30" s="18" t="s">
        <v>55</v>
      </c>
      <c r="E30" s="19"/>
      <c r="F30" s="18" t="s">
        <v>55</v>
      </c>
      <c r="G30" s="19"/>
      <c r="H30" s="21"/>
      <c r="I30" s="19"/>
      <c r="J30" s="18" t="s">
        <v>55</v>
      </c>
      <c r="L30" s="18" t="s">
        <v>55</v>
      </c>
      <c r="N30" s="18" t="s">
        <v>55</v>
      </c>
      <c r="P30" s="18" t="s">
        <v>55</v>
      </c>
      <c r="R30" s="18" t="s">
        <v>55</v>
      </c>
      <c r="S30" s="19"/>
      <c r="T30" s="18" t="s">
        <v>55</v>
      </c>
      <c r="U30" s="19"/>
      <c r="V30" s="18" t="s">
        <v>55</v>
      </c>
      <c r="W30" s="22"/>
      <c r="X30" s="18">
        <f aca="true" t="shared" si="1" ref="X30:X35">SUM(D30:V30)</f>
        <v>0</v>
      </c>
    </row>
    <row r="31" spans="1:24" s="20" customFormat="1" ht="18">
      <c r="A31" s="20" t="s">
        <v>92</v>
      </c>
      <c r="B31" s="23">
        <v>33</v>
      </c>
      <c r="D31" s="18"/>
      <c r="E31" s="19"/>
      <c r="F31" s="18" t="s">
        <v>55</v>
      </c>
      <c r="G31" s="19"/>
      <c r="H31" s="18" t="s">
        <v>55</v>
      </c>
      <c r="I31" s="19"/>
      <c r="J31" s="18" t="s">
        <v>55</v>
      </c>
      <c r="L31" s="18" t="s">
        <v>55</v>
      </c>
      <c r="N31" s="18" t="s">
        <v>55</v>
      </c>
      <c r="P31" s="18" t="s">
        <v>55</v>
      </c>
      <c r="R31" s="18" t="s">
        <v>55</v>
      </c>
      <c r="S31" s="19"/>
      <c r="T31" s="18" t="s">
        <v>55</v>
      </c>
      <c r="U31" s="19"/>
      <c r="V31" s="18" t="s">
        <v>55</v>
      </c>
      <c r="W31" s="22"/>
      <c r="X31" s="18">
        <f t="shared" si="1"/>
        <v>0</v>
      </c>
    </row>
    <row r="32" spans="1:24" s="20" customFormat="1" ht="18">
      <c r="A32" s="20" t="s">
        <v>93</v>
      </c>
      <c r="B32" s="23">
        <v>33</v>
      </c>
      <c r="D32" s="18" t="s">
        <v>55</v>
      </c>
      <c r="E32" s="19"/>
      <c r="F32" s="21"/>
      <c r="G32" s="19"/>
      <c r="H32" s="18" t="s">
        <v>55</v>
      </c>
      <c r="I32" s="19"/>
      <c r="J32" s="18" t="s">
        <v>55</v>
      </c>
      <c r="L32" s="18" t="s">
        <v>55</v>
      </c>
      <c r="N32" s="18" t="s">
        <v>55</v>
      </c>
      <c r="P32" s="18" t="s">
        <v>55</v>
      </c>
      <c r="R32" s="18" t="s">
        <v>55</v>
      </c>
      <c r="S32" s="19"/>
      <c r="T32" s="18" t="s">
        <v>55</v>
      </c>
      <c r="U32" s="19"/>
      <c r="V32" s="18" t="s">
        <v>55</v>
      </c>
      <c r="W32" s="22"/>
      <c r="X32" s="18">
        <f t="shared" si="1"/>
        <v>0</v>
      </c>
    </row>
    <row r="33" spans="1:24" s="20" customFormat="1" ht="18">
      <c r="A33" s="20" t="s">
        <v>97</v>
      </c>
      <c r="B33" s="23"/>
      <c r="D33" s="18" t="s">
        <v>55</v>
      </c>
      <c r="E33" s="19"/>
      <c r="F33" s="18" t="s">
        <v>55</v>
      </c>
      <c r="G33" s="19"/>
      <c r="H33" s="18" t="s">
        <v>55</v>
      </c>
      <c r="I33" s="19"/>
      <c r="J33" s="18" t="s">
        <v>55</v>
      </c>
      <c r="L33" s="18" t="s">
        <v>55</v>
      </c>
      <c r="N33" s="18"/>
      <c r="P33" s="18" t="s">
        <v>55</v>
      </c>
      <c r="R33" s="18" t="s">
        <v>55</v>
      </c>
      <c r="T33" s="18" t="s">
        <v>55</v>
      </c>
      <c r="U33" s="24"/>
      <c r="V33" s="18" t="s">
        <v>55</v>
      </c>
      <c r="W33" s="24"/>
      <c r="X33" s="18">
        <f t="shared" si="1"/>
        <v>0</v>
      </c>
    </row>
    <row r="34" spans="1:24" s="20" customFormat="1" ht="18">
      <c r="A34" s="20" t="s">
        <v>105</v>
      </c>
      <c r="B34" s="23">
        <v>32</v>
      </c>
      <c r="D34" s="18" t="s">
        <v>55</v>
      </c>
      <c r="E34" s="19"/>
      <c r="F34" s="18" t="s">
        <v>55</v>
      </c>
      <c r="G34" s="19"/>
      <c r="H34" s="18" t="s">
        <v>55</v>
      </c>
      <c r="I34" s="19"/>
      <c r="J34" s="18" t="s">
        <v>55</v>
      </c>
      <c r="L34" s="18" t="s">
        <v>55</v>
      </c>
      <c r="N34" s="18" t="s">
        <v>55</v>
      </c>
      <c r="P34" s="14"/>
      <c r="R34" s="18" t="s">
        <v>55</v>
      </c>
      <c r="S34" s="19"/>
      <c r="T34" s="18" t="s">
        <v>55</v>
      </c>
      <c r="U34" s="19"/>
      <c r="V34" s="18" t="s">
        <v>55</v>
      </c>
      <c r="W34" s="19"/>
      <c r="X34" s="18">
        <f t="shared" si="1"/>
        <v>0</v>
      </c>
    </row>
    <row r="35" spans="1:24" s="20" customFormat="1" ht="18">
      <c r="A35" s="20" t="s">
        <v>114</v>
      </c>
      <c r="B35" s="23">
        <v>17</v>
      </c>
      <c r="D35" s="18" t="s">
        <v>55</v>
      </c>
      <c r="E35" s="19"/>
      <c r="F35" s="18" t="s">
        <v>55</v>
      </c>
      <c r="G35" s="19"/>
      <c r="H35" s="18" t="s">
        <v>55</v>
      </c>
      <c r="I35" s="19"/>
      <c r="J35" s="18"/>
      <c r="L35" s="18" t="s">
        <v>55</v>
      </c>
      <c r="N35" s="18" t="s">
        <v>55</v>
      </c>
      <c r="P35" s="18" t="s">
        <v>55</v>
      </c>
      <c r="R35" s="18" t="s">
        <v>55</v>
      </c>
      <c r="S35" s="19"/>
      <c r="T35" s="18" t="s">
        <v>55</v>
      </c>
      <c r="U35" s="19"/>
      <c r="V35" s="18"/>
      <c r="W35" s="19"/>
      <c r="X35" s="18">
        <f t="shared" si="1"/>
        <v>0</v>
      </c>
    </row>
    <row r="36" spans="1:24" s="20" customFormat="1" ht="18">
      <c r="A36" s="20" t="s">
        <v>68</v>
      </c>
      <c r="B36" s="23">
        <v>24</v>
      </c>
      <c r="D36" s="18" t="s">
        <v>55</v>
      </c>
      <c r="E36" s="19"/>
      <c r="F36" s="18" t="s">
        <v>55</v>
      </c>
      <c r="G36" s="19"/>
      <c r="H36" s="18" t="s">
        <v>55</v>
      </c>
      <c r="I36" s="19"/>
      <c r="J36" s="18" t="s">
        <v>55</v>
      </c>
      <c r="L36" s="18" t="s">
        <v>55</v>
      </c>
      <c r="N36" s="18" t="s">
        <v>55</v>
      </c>
      <c r="P36" s="18" t="s">
        <v>55</v>
      </c>
      <c r="R36" s="14"/>
      <c r="S36" s="19"/>
      <c r="T36" s="18"/>
      <c r="U36" s="19"/>
      <c r="V36" s="18" t="s">
        <v>55</v>
      </c>
      <c r="W36" s="19"/>
      <c r="X36" s="18" t="s">
        <v>55</v>
      </c>
    </row>
    <row r="37" spans="1:24" s="20" customFormat="1" ht="18">
      <c r="A37" s="20" t="s">
        <v>70</v>
      </c>
      <c r="B37" s="23"/>
      <c r="D37" s="18" t="s">
        <v>55</v>
      </c>
      <c r="E37" s="19"/>
      <c r="F37" s="18" t="s">
        <v>55</v>
      </c>
      <c r="G37" s="19"/>
      <c r="H37" s="18" t="s">
        <v>55</v>
      </c>
      <c r="I37" s="19"/>
      <c r="J37" s="18" t="s">
        <v>55</v>
      </c>
      <c r="K37" s="19"/>
      <c r="L37" s="18" t="s">
        <v>55</v>
      </c>
      <c r="M37" s="25"/>
      <c r="N37" s="18" t="s">
        <v>55</v>
      </c>
      <c r="O37" s="25"/>
      <c r="P37" s="18" t="s">
        <v>55</v>
      </c>
      <c r="Q37" s="25"/>
      <c r="R37" s="18" t="s">
        <v>55</v>
      </c>
      <c r="S37" s="19"/>
      <c r="T37" s="19" t="e">
        <f>'BS&amp;PL'!#REF!</f>
        <v>#REF!</v>
      </c>
      <c r="U37" s="19"/>
      <c r="V37" s="18" t="e">
        <f>-'BS&amp;PL'!#REF!</f>
        <v>#REF!</v>
      </c>
      <c r="W37" s="19"/>
      <c r="X37" s="19" t="e">
        <f>SUM(D37:V37)</f>
        <v>#REF!</v>
      </c>
    </row>
    <row r="38" spans="1:24" s="20" customFormat="1" ht="18">
      <c r="A38" s="20" t="s">
        <v>53</v>
      </c>
      <c r="B38" s="23">
        <v>23</v>
      </c>
      <c r="D38" s="18" t="s">
        <v>55</v>
      </c>
      <c r="E38" s="19"/>
      <c r="F38" s="18" t="s">
        <v>55</v>
      </c>
      <c r="G38" s="19"/>
      <c r="H38" s="18" t="s">
        <v>55</v>
      </c>
      <c r="I38" s="19"/>
      <c r="J38" s="18" t="s">
        <v>55</v>
      </c>
      <c r="L38" s="18" t="s">
        <v>55</v>
      </c>
      <c r="N38" s="18" t="s">
        <v>55</v>
      </c>
      <c r="P38" s="18" t="s">
        <v>55</v>
      </c>
      <c r="R38" s="18" t="s">
        <v>55</v>
      </c>
      <c r="S38" s="19"/>
      <c r="T38" s="21"/>
      <c r="U38" s="24"/>
      <c r="V38" s="19"/>
      <c r="W38" s="24"/>
      <c r="X38" s="19">
        <f>SUM(D38:V38)</f>
        <v>0</v>
      </c>
    </row>
    <row r="39" spans="1:24" s="20" customFormat="1" ht="18">
      <c r="A39" s="20" t="s">
        <v>37</v>
      </c>
      <c r="D39" s="18" t="s">
        <v>55</v>
      </c>
      <c r="E39" s="19"/>
      <c r="F39" s="18" t="s">
        <v>55</v>
      </c>
      <c r="G39" s="19"/>
      <c r="H39" s="18" t="s">
        <v>55</v>
      </c>
      <c r="I39" s="19"/>
      <c r="J39" s="18" t="s">
        <v>55</v>
      </c>
      <c r="L39" s="18" t="s">
        <v>55</v>
      </c>
      <c r="N39" s="18" t="s">
        <v>55</v>
      </c>
      <c r="P39" s="18" t="s">
        <v>55</v>
      </c>
      <c r="R39" s="18" t="s">
        <v>55</v>
      </c>
      <c r="S39" s="19"/>
      <c r="T39" s="18" t="s">
        <v>55</v>
      </c>
      <c r="U39" s="19"/>
      <c r="V39" s="26"/>
      <c r="W39" s="24"/>
      <c r="X39" s="19">
        <f>SUM(D39:V39)</f>
        <v>0</v>
      </c>
    </row>
    <row r="40" spans="1:24" s="20" customFormat="1" ht="18.75" thickBot="1">
      <c r="A40" s="13" t="s">
        <v>100</v>
      </c>
      <c r="B40" s="27"/>
      <c r="C40" s="27"/>
      <c r="D40" s="28">
        <f>SUM(D29:D39)</f>
        <v>1181037800</v>
      </c>
      <c r="E40" s="19"/>
      <c r="F40" s="28">
        <f>SUM(F29:F39)</f>
        <v>4625091357</v>
      </c>
      <c r="G40" s="19"/>
      <c r="H40" s="28">
        <f>SUM(H29:H39)</f>
        <v>679137344</v>
      </c>
      <c r="I40" s="19"/>
      <c r="J40" s="28">
        <f>SUM(J29:J39)</f>
        <v>739493467</v>
      </c>
      <c r="K40" s="19"/>
      <c r="L40" s="28">
        <f>SUM(L29:L39)</f>
        <v>305000325</v>
      </c>
      <c r="N40" s="28">
        <f>SUM(N29:N39)</f>
        <v>-19963214</v>
      </c>
      <c r="P40" s="28">
        <f>SUM(P29:P39)</f>
        <v>50062520</v>
      </c>
      <c r="R40" s="28">
        <f>SUM(R29:R39)</f>
        <v>131226422</v>
      </c>
      <c r="S40" s="19"/>
      <c r="T40" s="28" t="e">
        <f>SUM(T29:T39)</f>
        <v>#REF!</v>
      </c>
      <c r="U40" s="19"/>
      <c r="V40" s="28" t="e">
        <f>SUM(V29:V39)</f>
        <v>#REF!</v>
      </c>
      <c r="W40" s="22"/>
      <c r="X40" s="28" t="e">
        <f>SUM(X29:X39)</f>
        <v>#REF!</v>
      </c>
    </row>
    <row r="41" spans="2:25" ht="18.75" thickTop="1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8"/>
    </row>
    <row r="42" spans="1:25" ht="18">
      <c r="A42" s="30" t="s">
        <v>40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M42" s="29"/>
      <c r="N42" s="29"/>
      <c r="O42" s="29"/>
      <c r="P42" s="29"/>
      <c r="Q42" s="29"/>
      <c r="R42" s="29"/>
      <c r="S42" s="29"/>
      <c r="U42" s="29"/>
      <c r="W42" s="29"/>
      <c r="X42" s="29"/>
      <c r="Y42" s="8"/>
    </row>
    <row r="43" spans="1:25" ht="18">
      <c r="A43" s="197" t="s">
        <v>71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8"/>
    </row>
    <row r="44" spans="1:24" ht="18">
      <c r="A44" s="195" t="s">
        <v>41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</row>
    <row r="45" spans="1:24" ht="18">
      <c r="A45" s="195" t="s">
        <v>76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</row>
    <row r="46" spans="1:24" ht="18">
      <c r="A46" s="195" t="s">
        <v>99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</row>
    <row r="47" spans="5:24" s="8" customFormat="1" ht="18">
      <c r="E47" s="9"/>
      <c r="X47" s="10" t="s">
        <v>58</v>
      </c>
    </row>
    <row r="48" spans="2:24" s="7" customFormat="1" ht="18">
      <c r="B48" s="9"/>
      <c r="C48" s="9"/>
      <c r="E48" s="8"/>
      <c r="G48" s="8"/>
      <c r="H48" s="8"/>
      <c r="I48" s="8"/>
      <c r="J48" s="196" t="s">
        <v>107</v>
      </c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</row>
    <row r="49" spans="6:24" s="7" customFormat="1" ht="18">
      <c r="F49" s="9"/>
      <c r="G49" s="9"/>
      <c r="J49" s="9"/>
      <c r="K49" s="9"/>
      <c r="L49" s="194" t="s">
        <v>38</v>
      </c>
      <c r="M49" s="194"/>
      <c r="N49" s="194"/>
      <c r="O49" s="194"/>
      <c r="P49" s="194"/>
      <c r="Q49" s="41"/>
      <c r="R49" s="7" t="s">
        <v>81</v>
      </c>
      <c r="S49" s="9"/>
      <c r="T49" s="194" t="s">
        <v>47</v>
      </c>
      <c r="U49" s="194"/>
      <c r="V49" s="194"/>
      <c r="W49" s="9"/>
      <c r="X49" s="9"/>
    </row>
    <row r="50" spans="4:20" s="7" customFormat="1" ht="18">
      <c r="D50" s="9"/>
      <c r="E50" s="9"/>
      <c r="F50" s="9"/>
      <c r="J50" s="7" t="s">
        <v>10</v>
      </c>
      <c r="N50" s="7" t="s">
        <v>73</v>
      </c>
      <c r="P50" s="7" t="s">
        <v>38</v>
      </c>
      <c r="R50" s="7" t="s">
        <v>83</v>
      </c>
      <c r="T50" s="7" t="s">
        <v>84</v>
      </c>
    </row>
    <row r="51" spans="4:20" s="7" customFormat="1" ht="18">
      <c r="D51" s="9"/>
      <c r="E51" s="9"/>
      <c r="F51" s="9"/>
      <c r="J51" s="7" t="s">
        <v>27</v>
      </c>
      <c r="L51" s="7" t="s">
        <v>85</v>
      </c>
      <c r="N51" s="7" t="s">
        <v>74</v>
      </c>
      <c r="P51" s="7" t="s">
        <v>86</v>
      </c>
      <c r="R51" s="7" t="s">
        <v>88</v>
      </c>
      <c r="T51" s="7" t="s">
        <v>57</v>
      </c>
    </row>
    <row r="52" spans="4:24" s="7" customFormat="1" ht="18">
      <c r="D52" s="36"/>
      <c r="E52" s="9"/>
      <c r="F52" s="9"/>
      <c r="H52" s="12" t="s">
        <v>26</v>
      </c>
      <c r="J52" s="11" t="s">
        <v>28</v>
      </c>
      <c r="L52" s="11" t="s">
        <v>89</v>
      </c>
      <c r="N52" s="11" t="s">
        <v>67</v>
      </c>
      <c r="P52" s="11" t="s">
        <v>115</v>
      </c>
      <c r="Q52" s="9"/>
      <c r="R52" s="11" t="s">
        <v>91</v>
      </c>
      <c r="T52" s="11" t="s">
        <v>56</v>
      </c>
      <c r="U52" s="9"/>
      <c r="V52" s="11" t="s">
        <v>21</v>
      </c>
      <c r="X52" s="11" t="s">
        <v>23</v>
      </c>
    </row>
    <row r="53" spans="1:24" s="15" customFormat="1" ht="18">
      <c r="A53" s="13" t="s">
        <v>101</v>
      </c>
      <c r="D53" s="37"/>
      <c r="E53" s="38"/>
      <c r="F53" s="14"/>
      <c r="G53" s="14"/>
      <c r="H53" s="33"/>
      <c r="J53" s="17">
        <v>1163410108</v>
      </c>
      <c r="K53" s="14"/>
      <c r="L53" s="17">
        <v>4322607094</v>
      </c>
      <c r="M53" s="14"/>
      <c r="N53" s="17">
        <v>254659742</v>
      </c>
      <c r="O53" s="14"/>
      <c r="P53" s="17">
        <v>963796488</v>
      </c>
      <c r="R53" s="31" t="s">
        <v>55</v>
      </c>
      <c r="T53" s="17">
        <v>118341011</v>
      </c>
      <c r="U53" s="14"/>
      <c r="V53" s="17">
        <v>1066783257</v>
      </c>
      <c r="X53" s="17">
        <f>SUM(J53:V53)</f>
        <v>7889597700</v>
      </c>
    </row>
    <row r="54" spans="1:24" s="1" customFormat="1" ht="18" customHeight="1">
      <c r="A54" s="15" t="s">
        <v>102</v>
      </c>
      <c r="B54" s="34"/>
      <c r="C54" s="3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5"/>
      <c r="R54" s="4"/>
      <c r="S54" s="4"/>
      <c r="T54" s="4"/>
      <c r="U54" s="4"/>
      <c r="V54" s="5"/>
      <c r="W54" s="4"/>
      <c r="X54" s="4"/>
    </row>
    <row r="55" spans="1:24" s="1" customFormat="1" ht="18" customHeight="1">
      <c r="A55" s="15" t="s">
        <v>108</v>
      </c>
      <c r="B55" s="3"/>
      <c r="C55" s="34"/>
      <c r="D55" s="5"/>
      <c r="E55" s="4"/>
      <c r="F55" s="5"/>
      <c r="G55" s="4"/>
      <c r="H55" s="5"/>
      <c r="I55" s="4"/>
      <c r="J55" s="45" t="s">
        <v>55</v>
      </c>
      <c r="K55" s="46"/>
      <c r="L55" s="45" t="s">
        <v>55</v>
      </c>
      <c r="M55" s="46"/>
      <c r="N55" s="45" t="s">
        <v>55</v>
      </c>
      <c r="O55" s="46"/>
      <c r="P55" s="48">
        <v>-536673526</v>
      </c>
      <c r="Q55" s="47"/>
      <c r="R55" s="45" t="s">
        <v>55</v>
      </c>
      <c r="S55" s="47"/>
      <c r="T55" s="45" t="s">
        <v>55</v>
      </c>
      <c r="U55" s="46"/>
      <c r="V55" s="48">
        <f>-528932992+1977911</f>
        <v>-526955081</v>
      </c>
      <c r="W55" s="47"/>
      <c r="X55" s="42">
        <f>SUM(J55:V55)</f>
        <v>-1063628607</v>
      </c>
    </row>
    <row r="56" spans="1:24" s="1" customFormat="1" ht="18" customHeight="1">
      <c r="A56" s="13" t="s">
        <v>104</v>
      </c>
      <c r="B56" s="34"/>
      <c r="C56" s="34"/>
      <c r="D56" s="4"/>
      <c r="E56" s="4"/>
      <c r="F56" s="4"/>
      <c r="G56" s="4"/>
      <c r="H56" s="4"/>
      <c r="I56" s="4"/>
      <c r="J56" s="46">
        <f>SUM(J53:J55)</f>
        <v>1163410108</v>
      </c>
      <c r="K56" s="46"/>
      <c r="L56" s="46">
        <f>SUM(L53:L55)</f>
        <v>4322607094</v>
      </c>
      <c r="M56" s="46"/>
      <c r="N56" s="46">
        <f>SUM(N53:N55)</f>
        <v>254659742</v>
      </c>
      <c r="O56" s="46"/>
      <c r="P56" s="46">
        <f>SUM(P53:P55)</f>
        <v>427122962</v>
      </c>
      <c r="Q56" s="46"/>
      <c r="R56" s="18" t="s">
        <v>55</v>
      </c>
      <c r="S56" s="46"/>
      <c r="T56" s="46">
        <f>SUM(T53:T55)</f>
        <v>118341011</v>
      </c>
      <c r="U56" s="46"/>
      <c r="V56" s="46">
        <f>SUM(V53:V55)</f>
        <v>539828176</v>
      </c>
      <c r="W56" s="46"/>
      <c r="X56" s="46">
        <f>SUM(X53:X55)</f>
        <v>6825969093</v>
      </c>
    </row>
    <row r="57" spans="1:24" s="20" customFormat="1" ht="18">
      <c r="A57" s="20" t="s">
        <v>69</v>
      </c>
      <c r="D57" s="39"/>
      <c r="E57" s="19"/>
      <c r="F57" s="18"/>
      <c r="G57" s="19"/>
      <c r="I57" s="19"/>
      <c r="J57" s="18" t="s">
        <v>55</v>
      </c>
      <c r="K57" s="19"/>
      <c r="L57" s="18" t="s">
        <v>55</v>
      </c>
      <c r="M57" s="19"/>
      <c r="N57" s="21">
        <v>424477602</v>
      </c>
      <c r="O57" s="19"/>
      <c r="P57" s="18" t="s">
        <v>55</v>
      </c>
      <c r="R57" s="18" t="s">
        <v>55</v>
      </c>
      <c r="T57" s="18" t="s">
        <v>55</v>
      </c>
      <c r="U57" s="19"/>
      <c r="V57" s="18" t="s">
        <v>55</v>
      </c>
      <c r="X57" s="14">
        <f aca="true" t="shared" si="2" ref="X57:X63">SUM(J57:V57)</f>
        <v>424477602</v>
      </c>
    </row>
    <row r="58" spans="1:24" s="20" customFormat="1" ht="18">
      <c r="A58" s="20" t="s">
        <v>92</v>
      </c>
      <c r="D58" s="40"/>
      <c r="E58" s="19"/>
      <c r="F58" s="18"/>
      <c r="G58" s="19"/>
      <c r="H58" s="23">
        <v>33</v>
      </c>
      <c r="I58" s="19"/>
      <c r="J58" s="18">
        <v>17627692</v>
      </c>
      <c r="K58" s="19"/>
      <c r="L58" s="18" t="s">
        <v>55</v>
      </c>
      <c r="M58" s="19"/>
      <c r="N58" s="18" t="s">
        <v>55</v>
      </c>
      <c r="O58" s="19"/>
      <c r="P58" s="18" t="s">
        <v>55</v>
      </c>
      <c r="R58" s="18" t="s">
        <v>55</v>
      </c>
      <c r="T58" s="18" t="s">
        <v>55</v>
      </c>
      <c r="U58" s="19"/>
      <c r="V58" s="18" t="s">
        <v>55</v>
      </c>
      <c r="X58" s="14">
        <f t="shared" si="2"/>
        <v>17627692</v>
      </c>
    </row>
    <row r="59" spans="1:24" s="20" customFormat="1" ht="18">
      <c r="A59" s="20" t="s">
        <v>93</v>
      </c>
      <c r="D59" s="40"/>
      <c r="E59" s="19"/>
      <c r="F59" s="18"/>
      <c r="G59" s="19"/>
      <c r="H59" s="23">
        <v>33</v>
      </c>
      <c r="I59" s="19"/>
      <c r="J59" s="18" t="s">
        <v>55</v>
      </c>
      <c r="K59" s="19"/>
      <c r="L59" s="21">
        <v>239560335</v>
      </c>
      <c r="M59" s="19"/>
      <c r="N59" s="18" t="s">
        <v>55</v>
      </c>
      <c r="O59" s="19"/>
      <c r="P59" s="18" t="s">
        <v>55</v>
      </c>
      <c r="R59" s="18" t="s">
        <v>55</v>
      </c>
      <c r="T59" s="18" t="s">
        <v>55</v>
      </c>
      <c r="U59" s="19"/>
      <c r="V59" s="18" t="s">
        <v>55</v>
      </c>
      <c r="X59" s="14">
        <f t="shared" si="2"/>
        <v>239560335</v>
      </c>
    </row>
    <row r="60" spans="1:24" s="20" customFormat="1" ht="18">
      <c r="A60" s="20" t="s">
        <v>80</v>
      </c>
      <c r="D60" s="40"/>
      <c r="E60" s="39"/>
      <c r="F60" s="18"/>
      <c r="G60" s="19"/>
      <c r="H60" s="23">
        <v>32</v>
      </c>
      <c r="J60" s="18" t="s">
        <v>55</v>
      </c>
      <c r="K60" s="19"/>
      <c r="L60" s="18" t="s">
        <v>55</v>
      </c>
      <c r="M60" s="19"/>
      <c r="N60" s="18" t="s">
        <v>55</v>
      </c>
      <c r="O60" s="19"/>
      <c r="P60" s="18" t="s">
        <v>55</v>
      </c>
      <c r="R60" s="14">
        <v>50062520</v>
      </c>
      <c r="T60" s="18" t="s">
        <v>55</v>
      </c>
      <c r="U60" s="19"/>
      <c r="V60" s="18" t="s">
        <v>55</v>
      </c>
      <c r="X60" s="14">
        <f t="shared" si="2"/>
        <v>50062520</v>
      </c>
    </row>
    <row r="61" spans="1:24" s="20" customFormat="1" ht="18">
      <c r="A61" s="20" t="s">
        <v>68</v>
      </c>
      <c r="D61" s="40"/>
      <c r="E61" s="39"/>
      <c r="F61" s="18"/>
      <c r="G61" s="19"/>
      <c r="H61" s="23">
        <v>24</v>
      </c>
      <c r="J61" s="18" t="s">
        <v>55</v>
      </c>
      <c r="K61" s="19"/>
      <c r="L61" s="18" t="s">
        <v>55</v>
      </c>
      <c r="M61" s="19"/>
      <c r="N61" s="18" t="s">
        <v>55</v>
      </c>
      <c r="O61" s="19"/>
      <c r="P61" s="18" t="s">
        <v>55</v>
      </c>
      <c r="R61" s="18" t="s">
        <v>55</v>
      </c>
      <c r="T61" s="18">
        <v>12885411</v>
      </c>
      <c r="U61" s="19"/>
      <c r="V61" s="18">
        <v>-12885411</v>
      </c>
      <c r="X61" s="14">
        <f t="shared" si="2"/>
        <v>0</v>
      </c>
    </row>
    <row r="62" spans="1:24" s="20" customFormat="1" ht="18">
      <c r="A62" s="20" t="s">
        <v>106</v>
      </c>
      <c r="D62" s="32"/>
      <c r="E62" s="22"/>
      <c r="F62" s="18"/>
      <c r="G62" s="22"/>
      <c r="H62" s="32"/>
      <c r="I62" s="22"/>
      <c r="J62" s="18" t="s">
        <v>55</v>
      </c>
      <c r="K62" s="22"/>
      <c r="L62" s="18" t="s">
        <v>55</v>
      </c>
      <c r="M62" s="24"/>
      <c r="N62" s="18" t="s">
        <v>55</v>
      </c>
      <c r="O62" s="24"/>
      <c r="P62" s="18" t="s">
        <v>55</v>
      </c>
      <c r="R62" s="18" t="s">
        <v>55</v>
      </c>
      <c r="T62" s="18" t="s">
        <v>55</v>
      </c>
      <c r="U62" s="24"/>
      <c r="V62" s="21" t="e">
        <f>'BS&amp;PL'!#REF!</f>
        <v>#REF!</v>
      </c>
      <c r="X62" s="14" t="e">
        <f t="shared" si="2"/>
        <v>#REF!</v>
      </c>
    </row>
    <row r="63" spans="1:24" s="20" customFormat="1" ht="18">
      <c r="A63" s="20" t="s">
        <v>94</v>
      </c>
      <c r="D63" s="40"/>
      <c r="E63" s="19"/>
      <c r="F63" s="18"/>
      <c r="G63" s="19"/>
      <c r="H63" s="23">
        <v>23</v>
      </c>
      <c r="I63" s="19"/>
      <c r="J63" s="43" t="s">
        <v>55</v>
      </c>
      <c r="K63" s="19"/>
      <c r="L63" s="43" t="s">
        <v>55</v>
      </c>
      <c r="M63" s="19"/>
      <c r="N63" s="43" t="s">
        <v>55</v>
      </c>
      <c r="O63" s="19"/>
      <c r="P63" s="43" t="s">
        <v>55</v>
      </c>
      <c r="R63" s="43" t="s">
        <v>55</v>
      </c>
      <c r="T63" s="43" t="s">
        <v>55</v>
      </c>
      <c r="U63" s="19"/>
      <c r="V63" s="44">
        <v>-590518900</v>
      </c>
      <c r="X63" s="42">
        <f t="shared" si="2"/>
        <v>-590518900</v>
      </c>
    </row>
    <row r="64" spans="1:24" s="20" customFormat="1" ht="18">
      <c r="A64" s="13" t="s">
        <v>111</v>
      </c>
      <c r="D64" s="19"/>
      <c r="E64" s="19"/>
      <c r="F64" s="19"/>
      <c r="G64" s="19"/>
      <c r="H64" s="19"/>
      <c r="I64" s="19"/>
      <c r="J64" s="19">
        <f>SUM(J56:J63)</f>
        <v>1181037800</v>
      </c>
      <c r="K64" s="19"/>
      <c r="L64" s="19">
        <f>SUM(L56:L63)</f>
        <v>4562167429</v>
      </c>
      <c r="M64" s="19"/>
      <c r="N64" s="19">
        <f>SUM(N56:N63)</f>
        <v>679137344</v>
      </c>
      <c r="O64" s="19"/>
      <c r="P64" s="19">
        <f>SUM(P56:P63)</f>
        <v>427122962</v>
      </c>
      <c r="R64" s="19">
        <f>SUM(R56:R63)</f>
        <v>50062520</v>
      </c>
      <c r="T64" s="19">
        <f>SUM(T56:T63)</f>
        <v>131226422</v>
      </c>
      <c r="U64" s="19"/>
      <c r="V64" s="19" t="e">
        <f>SUM(V56:V63)</f>
        <v>#REF!</v>
      </c>
      <c r="X64" s="19" t="e">
        <f>SUM(X56:X63)</f>
        <v>#REF!</v>
      </c>
    </row>
    <row r="65" spans="1:24" s="20" customFormat="1" ht="18">
      <c r="A65" s="13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R65" s="19"/>
      <c r="T65" s="19"/>
      <c r="U65" s="19"/>
      <c r="V65" s="19"/>
      <c r="X65" s="19"/>
    </row>
    <row r="66" spans="1:24" s="20" customFormat="1" ht="18">
      <c r="A66" s="13" t="s">
        <v>117</v>
      </c>
      <c r="D66" s="19"/>
      <c r="E66" s="19"/>
      <c r="F66" s="19"/>
      <c r="G66" s="19"/>
      <c r="H66" s="19"/>
      <c r="I66" s="19"/>
      <c r="J66" s="19">
        <v>1181037800</v>
      </c>
      <c r="K66" s="19"/>
      <c r="L66" s="19">
        <v>4562167429</v>
      </c>
      <c r="M66" s="19"/>
      <c r="N66" s="19">
        <v>679137344</v>
      </c>
      <c r="O66" s="19"/>
      <c r="P66" s="19">
        <v>982615188</v>
      </c>
      <c r="R66" s="19">
        <v>50062520</v>
      </c>
      <c r="T66" s="19">
        <v>131226422</v>
      </c>
      <c r="U66" s="19"/>
      <c r="V66" s="19">
        <v>1060240466</v>
      </c>
      <c r="X66" s="19">
        <f>SUM(J66:V66)</f>
        <v>8646487169</v>
      </c>
    </row>
    <row r="67" spans="1:24" s="20" customFormat="1" ht="18">
      <c r="A67" s="15" t="s">
        <v>102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R67" s="19"/>
      <c r="T67" s="19"/>
      <c r="U67" s="19"/>
      <c r="V67" s="19"/>
      <c r="X67" s="19"/>
    </row>
    <row r="68" spans="1:24" s="1" customFormat="1" ht="18" customHeight="1">
      <c r="A68" s="15" t="s">
        <v>108</v>
      </c>
      <c r="B68" s="3"/>
      <c r="C68" s="34"/>
      <c r="D68" s="5"/>
      <c r="E68" s="4"/>
      <c r="F68" s="5"/>
      <c r="G68" s="4"/>
      <c r="H68" s="5"/>
      <c r="I68" s="4"/>
      <c r="J68" s="45" t="s">
        <v>55</v>
      </c>
      <c r="K68" s="46"/>
      <c r="L68" s="45" t="s">
        <v>55</v>
      </c>
      <c r="M68" s="46"/>
      <c r="N68" s="45" t="s">
        <v>55</v>
      </c>
      <c r="O68" s="46"/>
      <c r="P68" s="48">
        <v>-536673526</v>
      </c>
      <c r="Q68" s="47"/>
      <c r="R68" s="45" t="s">
        <v>55</v>
      </c>
      <c r="S68" s="47"/>
      <c r="T68" s="45" t="s">
        <v>55</v>
      </c>
      <c r="U68" s="46"/>
      <c r="V68" s="48">
        <f>-528932992+1977911</f>
        <v>-526955081</v>
      </c>
      <c r="W68" s="47"/>
      <c r="X68" s="42">
        <f>SUM(J68:V68)</f>
        <v>-1063628607</v>
      </c>
    </row>
    <row r="69" spans="1:24" s="20" customFormat="1" ht="18">
      <c r="A69" s="13" t="s">
        <v>111</v>
      </c>
      <c r="D69" s="19"/>
      <c r="E69" s="19"/>
      <c r="F69" s="19"/>
      <c r="G69" s="19"/>
      <c r="H69" s="19"/>
      <c r="I69" s="19"/>
      <c r="J69" s="19">
        <v>1181037800</v>
      </c>
      <c r="K69" s="19"/>
      <c r="L69" s="19">
        <v>4562167429</v>
      </c>
      <c r="M69" s="19"/>
      <c r="N69" s="19">
        <v>679137344</v>
      </c>
      <c r="O69" s="19"/>
      <c r="P69" s="19">
        <v>427122962</v>
      </c>
      <c r="R69" s="19">
        <v>50062520</v>
      </c>
      <c r="T69" s="19">
        <v>131226422</v>
      </c>
      <c r="U69" s="19"/>
      <c r="V69" s="19">
        <v>1060240466</v>
      </c>
      <c r="X69" s="19">
        <v>8090994943</v>
      </c>
    </row>
    <row r="70" spans="1:24" s="20" customFormat="1" ht="18">
      <c r="A70" s="20" t="s">
        <v>69</v>
      </c>
      <c r="D70" s="39"/>
      <c r="E70" s="19"/>
      <c r="F70" s="18"/>
      <c r="G70" s="19"/>
      <c r="I70" s="19"/>
      <c r="J70" s="18" t="s">
        <v>55</v>
      </c>
      <c r="K70" s="19"/>
      <c r="L70" s="18" t="s">
        <v>55</v>
      </c>
      <c r="M70" s="19"/>
      <c r="N70" s="21"/>
      <c r="O70" s="19"/>
      <c r="P70" s="18" t="s">
        <v>55</v>
      </c>
      <c r="R70" s="18" t="s">
        <v>55</v>
      </c>
      <c r="T70" s="18" t="s">
        <v>55</v>
      </c>
      <c r="U70" s="19"/>
      <c r="V70" s="18" t="s">
        <v>55</v>
      </c>
      <c r="X70" s="14">
        <f aca="true" t="shared" si="3" ref="X70:X75">SUM(J70:V70)</f>
        <v>0</v>
      </c>
    </row>
    <row r="71" spans="1:24" s="20" customFormat="1" ht="18">
      <c r="A71" s="20" t="s">
        <v>97</v>
      </c>
      <c r="D71" s="40"/>
      <c r="E71" s="19"/>
      <c r="F71" s="18"/>
      <c r="G71" s="19"/>
      <c r="H71" s="23"/>
      <c r="I71" s="19"/>
      <c r="J71" s="18" t="s">
        <v>55</v>
      </c>
      <c r="K71" s="19"/>
      <c r="L71" s="18" t="s">
        <v>55</v>
      </c>
      <c r="M71" s="19"/>
      <c r="N71" s="18" t="s">
        <v>55</v>
      </c>
      <c r="O71" s="19"/>
      <c r="P71" s="18" t="s">
        <v>55</v>
      </c>
      <c r="R71" s="18" t="s">
        <v>55</v>
      </c>
      <c r="T71" s="18" t="s">
        <v>55</v>
      </c>
      <c r="U71" s="19"/>
      <c r="V71" s="18" t="s">
        <v>55</v>
      </c>
      <c r="X71" s="14">
        <f t="shared" si="3"/>
        <v>0</v>
      </c>
    </row>
    <row r="72" spans="1:24" s="20" customFormat="1" ht="18">
      <c r="A72" s="20" t="s">
        <v>105</v>
      </c>
      <c r="D72" s="40"/>
      <c r="E72" s="39"/>
      <c r="F72" s="18"/>
      <c r="G72" s="19"/>
      <c r="H72" s="23">
        <v>32</v>
      </c>
      <c r="J72" s="18" t="s">
        <v>55</v>
      </c>
      <c r="K72" s="19"/>
      <c r="L72" s="18" t="s">
        <v>55</v>
      </c>
      <c r="M72" s="19"/>
      <c r="N72" s="18" t="s">
        <v>55</v>
      </c>
      <c r="O72" s="19"/>
      <c r="P72" s="18" t="s">
        <v>55</v>
      </c>
      <c r="R72" s="14"/>
      <c r="T72" s="18" t="s">
        <v>55</v>
      </c>
      <c r="U72" s="19"/>
      <c r="V72" s="18" t="s">
        <v>55</v>
      </c>
      <c r="X72" s="14">
        <f t="shared" si="3"/>
        <v>0</v>
      </c>
    </row>
    <row r="73" spans="1:24" s="20" customFormat="1" ht="18">
      <c r="A73" s="20" t="s">
        <v>114</v>
      </c>
      <c r="D73" s="40"/>
      <c r="E73" s="39"/>
      <c r="F73" s="18"/>
      <c r="G73" s="19"/>
      <c r="H73" s="23">
        <v>17</v>
      </c>
      <c r="J73" s="18" t="s">
        <v>55</v>
      </c>
      <c r="K73" s="19"/>
      <c r="L73" s="18" t="s">
        <v>55</v>
      </c>
      <c r="M73" s="19"/>
      <c r="N73" s="18" t="s">
        <v>55</v>
      </c>
      <c r="O73" s="19"/>
      <c r="P73" s="18"/>
      <c r="R73" s="18" t="s">
        <v>55</v>
      </c>
      <c r="T73" s="18" t="s">
        <v>55</v>
      </c>
      <c r="U73" s="19"/>
      <c r="V73" s="18" t="s">
        <v>55</v>
      </c>
      <c r="X73" s="14">
        <f t="shared" si="3"/>
        <v>0</v>
      </c>
    </row>
    <row r="74" spans="1:24" s="20" customFormat="1" ht="18">
      <c r="A74" s="20" t="s">
        <v>70</v>
      </c>
      <c r="D74" s="32"/>
      <c r="E74" s="22"/>
      <c r="F74" s="18"/>
      <c r="G74" s="22"/>
      <c r="H74" s="32"/>
      <c r="I74" s="22"/>
      <c r="J74" s="18" t="s">
        <v>55</v>
      </c>
      <c r="K74" s="22"/>
      <c r="L74" s="18" t="s">
        <v>55</v>
      </c>
      <c r="M74" s="24"/>
      <c r="N74" s="18" t="s">
        <v>55</v>
      </c>
      <c r="O74" s="24"/>
      <c r="P74" s="18" t="s">
        <v>55</v>
      </c>
      <c r="R74" s="18" t="s">
        <v>55</v>
      </c>
      <c r="T74" s="18" t="s">
        <v>55</v>
      </c>
      <c r="U74" s="24"/>
      <c r="V74" s="21" t="e">
        <f>'BS&amp;PL'!#REF!</f>
        <v>#REF!</v>
      </c>
      <c r="X74" s="14" t="e">
        <f t="shared" si="3"/>
        <v>#REF!</v>
      </c>
    </row>
    <row r="75" spans="1:24" s="20" customFormat="1" ht="18">
      <c r="A75" s="20" t="s">
        <v>94</v>
      </c>
      <c r="D75" s="40"/>
      <c r="E75" s="19"/>
      <c r="F75" s="18"/>
      <c r="G75" s="19"/>
      <c r="H75" s="23">
        <v>23</v>
      </c>
      <c r="I75" s="19"/>
      <c r="J75" s="18" t="s">
        <v>55</v>
      </c>
      <c r="K75" s="19"/>
      <c r="L75" s="18" t="s">
        <v>55</v>
      </c>
      <c r="M75" s="19"/>
      <c r="N75" s="18" t="s">
        <v>55</v>
      </c>
      <c r="O75" s="19"/>
      <c r="P75" s="18" t="s">
        <v>55</v>
      </c>
      <c r="R75" s="18" t="s">
        <v>55</v>
      </c>
      <c r="T75" s="18" t="s">
        <v>55</v>
      </c>
      <c r="U75" s="19"/>
      <c r="V75" s="21">
        <f>T38</f>
        <v>0</v>
      </c>
      <c r="X75" s="14">
        <f t="shared" si="3"/>
        <v>0</v>
      </c>
    </row>
    <row r="76" spans="1:24" s="20" customFormat="1" ht="18.75" thickBot="1">
      <c r="A76" s="13" t="s">
        <v>100</v>
      </c>
      <c r="D76" s="19"/>
      <c r="E76" s="19"/>
      <c r="F76" s="19"/>
      <c r="G76" s="19"/>
      <c r="H76" s="19"/>
      <c r="I76" s="19"/>
      <c r="J76" s="28">
        <f>SUM(J64:J75)</f>
        <v>3543113400</v>
      </c>
      <c r="K76" s="19"/>
      <c r="L76" s="28">
        <f>SUM(L64:L75)</f>
        <v>13686502287</v>
      </c>
      <c r="M76" s="19"/>
      <c r="N76" s="28">
        <f>SUM(N64:N75)</f>
        <v>2037412032</v>
      </c>
      <c r="O76" s="19"/>
      <c r="P76" s="28">
        <f>SUM(P64:P75)</f>
        <v>1300187586</v>
      </c>
      <c r="R76" s="28">
        <f>SUM(R64:R75)</f>
        <v>150187560</v>
      </c>
      <c r="T76" s="28">
        <f>SUM(T64:T75)</f>
        <v>393679266</v>
      </c>
      <c r="U76" s="19"/>
      <c r="V76" s="28" t="e">
        <f>SUM(V64:V75)</f>
        <v>#REF!</v>
      </c>
      <c r="X76" s="28" t="e">
        <f>SUM(X64:X75)</f>
        <v>#REF!</v>
      </c>
    </row>
    <row r="77" spans="2:25" ht="18.75" thickTop="1">
      <c r="B77" s="29"/>
      <c r="C77" s="29"/>
      <c r="D77" s="29"/>
      <c r="E77" s="29"/>
      <c r="F77" s="29"/>
      <c r="G77" s="29"/>
      <c r="H77" s="29"/>
      <c r="I77" s="29"/>
      <c r="J77" s="29"/>
      <c r="K77" s="29"/>
      <c r="M77" s="29"/>
      <c r="N77" s="29"/>
      <c r="O77" s="29"/>
      <c r="P77" s="29"/>
      <c r="Q77" s="29"/>
      <c r="R77" s="29"/>
      <c r="S77" s="29"/>
      <c r="T77" s="29"/>
      <c r="U77" s="29"/>
      <c r="W77" s="29"/>
      <c r="X77" s="29"/>
      <c r="Y77" s="8"/>
    </row>
    <row r="78" spans="1:25" ht="18">
      <c r="A78" s="30" t="s">
        <v>40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M78" s="29"/>
      <c r="N78" s="29"/>
      <c r="O78" s="29"/>
      <c r="P78" s="29"/>
      <c r="Q78" s="29"/>
      <c r="R78" s="29"/>
      <c r="S78" s="29"/>
      <c r="T78" s="29"/>
      <c r="U78" s="29"/>
      <c r="W78" s="29"/>
      <c r="X78" s="29"/>
      <c r="Y78" s="8"/>
    </row>
    <row r="79" spans="1:25" ht="18">
      <c r="A79" s="30"/>
      <c r="B79" s="29"/>
      <c r="C79" s="29"/>
      <c r="D79" s="29"/>
      <c r="E79" s="29"/>
      <c r="F79" s="29"/>
      <c r="G79" s="29"/>
      <c r="H79" s="29"/>
      <c r="I79" s="29"/>
      <c r="J79" s="29"/>
      <c r="K79" s="29"/>
      <c r="M79" s="29"/>
      <c r="N79" s="29"/>
      <c r="O79" s="29"/>
      <c r="P79" s="29"/>
      <c r="Q79" s="29"/>
      <c r="R79" s="29"/>
      <c r="S79" s="29"/>
      <c r="T79" s="29"/>
      <c r="U79" s="29"/>
      <c r="W79" s="29"/>
      <c r="X79" s="29"/>
      <c r="Y79" s="8"/>
    </row>
    <row r="80" spans="1:25" ht="18">
      <c r="A80" s="30"/>
      <c r="B80" s="29"/>
      <c r="C80" s="29"/>
      <c r="D80" s="29"/>
      <c r="E80" s="29"/>
      <c r="F80" s="29"/>
      <c r="G80" s="29"/>
      <c r="H80" s="29"/>
      <c r="I80" s="29"/>
      <c r="J80" s="29"/>
      <c r="K80" s="29"/>
      <c r="M80" s="29"/>
      <c r="N80" s="29"/>
      <c r="O80" s="29"/>
      <c r="P80" s="29"/>
      <c r="Q80" s="29"/>
      <c r="R80" s="29"/>
      <c r="S80" s="29"/>
      <c r="U80" s="29"/>
      <c r="W80" s="29"/>
      <c r="X80" s="29"/>
      <c r="Y80" s="8"/>
    </row>
    <row r="81" spans="1:25" ht="18">
      <c r="A81" s="30"/>
      <c r="B81" s="29"/>
      <c r="C81" s="29"/>
      <c r="D81" s="29"/>
      <c r="E81" s="29"/>
      <c r="F81" s="29"/>
      <c r="G81" s="29"/>
      <c r="H81" s="29"/>
      <c r="I81" s="29"/>
      <c r="J81" s="29"/>
      <c r="K81" s="29"/>
      <c r="M81" s="29"/>
      <c r="N81" s="29"/>
      <c r="O81" s="29"/>
      <c r="P81" s="29"/>
      <c r="Q81" s="29"/>
      <c r="R81" s="29"/>
      <c r="S81" s="29"/>
      <c r="U81" s="29"/>
      <c r="W81" s="29"/>
      <c r="X81" s="29"/>
      <c r="Y81" s="8"/>
    </row>
    <row r="82" spans="1:25" ht="18">
      <c r="A82" s="30"/>
      <c r="B82" s="29"/>
      <c r="C82" s="29"/>
      <c r="D82" s="29"/>
      <c r="E82" s="29"/>
      <c r="F82" s="29"/>
      <c r="G82" s="29"/>
      <c r="H82" s="29"/>
      <c r="I82" s="29"/>
      <c r="J82" s="29"/>
      <c r="K82" s="29"/>
      <c r="M82" s="29"/>
      <c r="N82" s="29"/>
      <c r="O82" s="29"/>
      <c r="P82" s="29"/>
      <c r="Q82" s="29"/>
      <c r="R82" s="29"/>
      <c r="S82" s="29"/>
      <c r="U82" s="29"/>
      <c r="W82" s="29"/>
      <c r="X82" s="29"/>
      <c r="Y82" s="8"/>
    </row>
    <row r="83" spans="1:25" ht="18">
      <c r="A83" s="30"/>
      <c r="B83" s="29"/>
      <c r="C83" s="29"/>
      <c r="D83" s="29"/>
      <c r="E83" s="29"/>
      <c r="F83" s="29"/>
      <c r="G83" s="29"/>
      <c r="H83" s="29"/>
      <c r="I83" s="29"/>
      <c r="J83" s="29"/>
      <c r="K83" s="29"/>
      <c r="M83" s="29"/>
      <c r="N83" s="29"/>
      <c r="O83" s="29"/>
      <c r="P83" s="29"/>
      <c r="Q83" s="29"/>
      <c r="R83" s="29"/>
      <c r="S83" s="29"/>
      <c r="U83" s="29"/>
      <c r="W83" s="29"/>
      <c r="X83" s="29"/>
      <c r="Y83" s="8"/>
    </row>
    <row r="84" spans="1:25" ht="18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29"/>
      <c r="M84" s="29"/>
      <c r="N84" s="29"/>
      <c r="O84" s="29"/>
      <c r="P84" s="29"/>
      <c r="Q84" s="29"/>
      <c r="R84" s="29"/>
      <c r="S84" s="29"/>
      <c r="U84" s="29"/>
      <c r="W84" s="29"/>
      <c r="X84" s="29"/>
      <c r="Y84" s="8"/>
    </row>
    <row r="85" spans="1:24" ht="18">
      <c r="A85" s="197" t="s">
        <v>72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</row>
  </sheetData>
  <sheetProtection/>
  <mergeCells count="14">
    <mergeCell ref="A85:X85"/>
    <mergeCell ref="A1:X1"/>
    <mergeCell ref="A2:X2"/>
    <mergeCell ref="A3:X3"/>
    <mergeCell ref="A44:X44"/>
    <mergeCell ref="A43:X43"/>
    <mergeCell ref="D5:X5"/>
    <mergeCell ref="F6:L6"/>
    <mergeCell ref="R6:T6"/>
    <mergeCell ref="A45:X45"/>
    <mergeCell ref="A46:X46"/>
    <mergeCell ref="J48:X48"/>
    <mergeCell ref="L49:P49"/>
    <mergeCell ref="T49:V49"/>
  </mergeCells>
  <printOptions horizontalCentered="1"/>
  <pageMargins left="0.61" right="0.393700787401575" top="0.89" bottom="0.17" header="0.77" footer="0.196850393700787"/>
  <pageSetup firstPageNumber="3" useFirstPageNumber="1" horizontalDpi="600" verticalDpi="600" orientation="landscape" scale="70" r:id="rId3"/>
  <headerFooter alignWithMargins="0">
    <oddHeader>&amp;C&amp;"Times New Roman,Bold"&amp;10DRAFT SUBJECT TO OUTSTANDING MATTERS</oddHeader>
    <oddFooter>&amp;R&amp;"Times New Roman,Regular"&amp;10We, being responsible for the preparation of
these financial statements and notes thereto,
hereby approve their issue in final form.  
………………..……………………..….…
Directors                       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asukyai</dc:creator>
  <cp:keywords/>
  <dc:description/>
  <cp:lastModifiedBy>Wanwimon Unanuya</cp:lastModifiedBy>
  <cp:lastPrinted>2013-11-14T06:52:03Z</cp:lastPrinted>
  <dcterms:created xsi:type="dcterms:W3CDTF">2002-04-23T15:36:06Z</dcterms:created>
  <dcterms:modified xsi:type="dcterms:W3CDTF">2013-11-14T06:52:18Z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B251 - Bs&amp;Pl_Thai and Eng_Q3'13.xls</vt:lpwstr>
  </property>
</Properties>
</file>