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9570" windowHeight="11625" activeTab="0"/>
  </bookViews>
  <sheets>
    <sheet name="BS&amp;PL" sheetId="1" r:id="rId1"/>
    <sheet name="CE" sheetId="2" r:id="rId2"/>
  </sheets>
  <externalReferences>
    <externalReference r:id="rId5"/>
  </externalReferences>
  <definedNames>
    <definedName name="_xlnm.Print_Area" localSheetId="1">'CE'!$A$1:$Z$73</definedName>
  </definedNames>
  <calcPr fullCalcOnLoad="1"/>
</workbook>
</file>

<file path=xl/comments1.xml><?xml version="1.0" encoding="utf-8"?>
<comments xmlns="http://schemas.openxmlformats.org/spreadsheetml/2006/main">
  <authors>
    <author>Tanawadee.Kangnoi</author>
  </authors>
  <commentList>
    <comment ref="M114" authorId="0">
      <text>
        <r>
          <rPr>
            <b/>
            <sz val="8"/>
            <rFont val="Tahoma"/>
            <family val="2"/>
          </rPr>
          <t>Tanawadee.Kangnoi:</t>
        </r>
        <r>
          <rPr>
            <sz val="8"/>
            <rFont val="Tahoma"/>
            <family val="2"/>
          </rPr>
          <t xml:space="preserve">
ยังไม่ถึงจุด 5 แต่ปัดขึ้น  </t>
        </r>
      </text>
    </comment>
    <comment ref="M76" authorId="0">
      <text>
        <r>
          <rPr>
            <b/>
            <sz val="8"/>
            <rFont val="Tahoma"/>
            <family val="2"/>
          </rPr>
          <t>Tanawadee.Kangnoi:</t>
        </r>
        <r>
          <rPr>
            <sz val="8"/>
            <rFont val="Tahoma"/>
            <family val="2"/>
          </rPr>
          <t xml:space="preserve">
ยังไม่ถึงจุด 5 แต่ปัดขึ้น  </t>
        </r>
      </text>
    </comment>
    <comment ref="M72" authorId="0">
      <text>
        <r>
          <rPr>
            <b/>
            <sz val="8"/>
            <rFont val="Tahoma"/>
            <family val="2"/>
          </rPr>
          <t>Tanawadee.Kangnoi:</t>
        </r>
        <r>
          <rPr>
            <sz val="8"/>
            <rFont val="Tahoma"/>
            <family val="2"/>
          </rPr>
          <t xml:space="preserve">
ยังไม่ถึงจุด 5 แต่ปัดขึ้น  </t>
        </r>
      </text>
    </comment>
    <comment ref="M22" authorId="0">
      <text>
        <r>
          <rPr>
            <b/>
            <sz val="8"/>
            <rFont val="Tahoma"/>
            <family val="2"/>
          </rPr>
          <t>Tanawadee.Kangnoi:</t>
        </r>
        <r>
          <rPr>
            <sz val="8"/>
            <rFont val="Tahoma"/>
            <family val="2"/>
          </rPr>
          <t xml:space="preserve">
ไม้ถึงจุด 5 แต่ปัดขึ้นค่ะ</t>
        </r>
      </text>
    </comment>
  </commentList>
</comments>
</file>

<file path=xl/sharedStrings.xml><?xml version="1.0" encoding="utf-8"?>
<sst xmlns="http://schemas.openxmlformats.org/spreadsheetml/2006/main" count="523" uniqueCount="240">
  <si>
    <t>หมายเหตุประกอบงบการเงินเป็นส่วนหนึ่งของงบการเงินนี้</t>
  </si>
  <si>
    <t>เงินปันผลค้างจ่าย</t>
  </si>
  <si>
    <t>เงินปันผลค้างรับ - กิจการที่เกี่ยวข้องกัน</t>
  </si>
  <si>
    <t>เจ้าหนี้ก่อสร้างและเงินประกันผลงานเพิ่มขึ้น (ลดลง)</t>
  </si>
  <si>
    <t>สินทรัพย์ซื้อภายใต้สัญญาเช่าการเงิน</t>
  </si>
  <si>
    <t>รายการที่ไม่ใช่เงินสด</t>
  </si>
  <si>
    <t xml:space="preserve">ข้อมูลเพิ่มเติมประกอบกระแสเงินสด </t>
  </si>
  <si>
    <t>เงินสดและรายการเทียบเท่าเงินสดสิ้นงวด</t>
  </si>
  <si>
    <t>เงินสดและรายการเทียบเท่าเงินสดต้นงวด</t>
  </si>
  <si>
    <t>เงินสดและรายการเทียบเท่าเงินสดเพิ่มขึ้น(ลดลง)สุทธิ</t>
  </si>
  <si>
    <t>เงินสดสุทธิได้มาจาก(ใช้ไปใน)กิจกรรมจัดหาเงิน</t>
  </si>
  <si>
    <t>เงินสดจ่ายซื้อคืนหุ้นกู้แปลงสภาพ</t>
  </si>
  <si>
    <t>เงินสดจ่ายชำระเจ้าหนี้สัญญาเช่าการเงิน</t>
  </si>
  <si>
    <t>เงินสดจ่ายชำระคืนเงินกู้ยืมระยะยาวจากสถาบันการเงิน</t>
  </si>
  <si>
    <t>เงินสดรับจากเงินกู้ยืมระยะยาวจากสถาบันการเงิน</t>
  </si>
  <si>
    <t>กระแสเงินสดจากกิจกรรมจัดหาเงิน</t>
  </si>
  <si>
    <t>สินทรัพย์ไม่มีตัวตนเพิ่มขึ้น</t>
  </si>
  <si>
    <t>รับชำระเงินให้กู้ยืมระยะยาวแก่กิจการที่เกี่ยวข้องกัน</t>
  </si>
  <si>
    <t>เงินให้กู้ยืมระยะสั้นแก่กิจการที่เกี่ยวข้องกันลดลง (เพิ่มขึ้น)</t>
  </si>
  <si>
    <t>เงินสดจ่ายซื้อที่ดิน อาคาร และอุปกรณ์</t>
  </si>
  <si>
    <t>เงินสดรับสุทธิจากการขายที่ดิน อาคาร และอุปกรณ์</t>
  </si>
  <si>
    <t>เงินสดจ่ายซื้อเงินลงทุนในบริษัทย่อยและบริษัทร่วม และบริษัทอื่น</t>
  </si>
  <si>
    <t>ดอกเบี้ยรับจากการลงทุน</t>
  </si>
  <si>
    <t>กระแสเงินสดจากกิจกรรมลงทุน</t>
  </si>
  <si>
    <t>งบการเงินเฉพาะกิจการ</t>
  </si>
  <si>
    <t>งบการเงินรวม</t>
  </si>
  <si>
    <t>(หน่วย: พันบาท)</t>
  </si>
  <si>
    <t>งบกระแสเงินสด(ต่อ)</t>
  </si>
  <si>
    <t>บริษัท กรุงเทพดุสิตเวชการ จำกัด (มหาชน) และบริษัทย่อย</t>
  </si>
  <si>
    <t>(ยังไม่ได้ตรวจสอบ แต่สอบทานแล้ว)</t>
  </si>
  <si>
    <t>เงินสดสุทธิได้มาจากกิจกรรมดำเนินงาน</t>
  </si>
  <si>
    <t>จ่ายภาษีเงินได้นิติบุคคล</t>
  </si>
  <si>
    <t>จ่ายดอกเบี้ย</t>
  </si>
  <si>
    <t>ดอกเบี้ยรับ</t>
  </si>
  <si>
    <t>เงินสดจากกิจกรรมดำเนินงาน</t>
  </si>
  <si>
    <t>หนี้สินไม่หมุนเวียนอื่น</t>
  </si>
  <si>
    <t>หนี้สินหมุนเวียนอื่น</t>
  </si>
  <si>
    <t>ค่าใช้จ่ายค้างจ่าย</t>
  </si>
  <si>
    <t>เจ้าหนี้อื่น</t>
  </si>
  <si>
    <t>เจ้าหนี้การค้า</t>
  </si>
  <si>
    <t>หนี้สินดำเนินงานเพิ่มขึ้น(ลดลง)</t>
  </si>
  <si>
    <t>สินทรัพย์ไม่หมุนเวียนอื่น</t>
  </si>
  <si>
    <t>สินทรัพย์หมุนเวียนอื่น</t>
  </si>
  <si>
    <t>สินค้าคงเหลือ</t>
  </si>
  <si>
    <t>ลูกหนี้อื่นกิจการที่เกี่ยวข้องกัน</t>
  </si>
  <si>
    <t>ลูกหนี้การค้า</t>
  </si>
  <si>
    <t>สินทรัพย์ดำเนินงานลดลง(เพิ่มขึ้น)</t>
  </si>
  <si>
    <t>และหนี้สินดำเนินงาน</t>
  </si>
  <si>
    <t>กำไรจากการดำเนินงานก่อนการเปลี่ยนแปลงในสินทรัพย์</t>
  </si>
  <si>
    <t>ค่าใช้จ่ายดอกเบี้ย</t>
  </si>
  <si>
    <t>รายได้เงินปันผลรับ</t>
  </si>
  <si>
    <t>รายได้ดอกเบี้ยรับ</t>
  </si>
  <si>
    <t>ขาดทุน(กำไร)จากอัตราแลกเปลี่ยนที่ยังไม่เกิดขึ้นจริง</t>
  </si>
  <si>
    <t>ขาดทุน(กำไร)จากการจำหน่ายที่ดิน อาคาร และอุปกรณ์</t>
  </si>
  <si>
    <t>ค่าใช้จ่ายในการออกหุ้นกู้แปลงสภาพและหุ้นกู้ตัดจำหน่าย</t>
  </si>
  <si>
    <t>กำไรจากการซื้อคืนหุ้นกู้แปลงสภาพ</t>
  </si>
  <si>
    <t>รายได้รอตัดบัญชีตัดจ่าย</t>
  </si>
  <si>
    <t xml:space="preserve">   กิจการที่เกี่ยวข้องกัน</t>
  </si>
  <si>
    <t>กลับรายการค่าเผื่อหนี้สงสัยจะสูญ-ดอกเบี้ยค้างรับ</t>
  </si>
  <si>
    <t>หนี้สูญและหนี้สงสัยจะสูญ</t>
  </si>
  <si>
    <t>รายการตัดบัญชีสินทรัพย์</t>
  </si>
  <si>
    <t>ค่าเสื่อมราคาและค่าตัดจำหน่าย</t>
  </si>
  <si>
    <t>จากกิจกรรมดำเนินงาน</t>
  </si>
  <si>
    <t>ปรับรายการที่กระทบกำไรสุทธิเป็นเงินสดรับ(จ่าย)</t>
  </si>
  <si>
    <t>กำไรสุทธิก่อนภาษีเงินได้นิติบุคคล</t>
  </si>
  <si>
    <t>กระแสเงินสดจากกิจกรรมดำเนินงาน</t>
  </si>
  <si>
    <t>งบกระแสเงินสด</t>
  </si>
  <si>
    <t>4</t>
  </si>
  <si>
    <t>จำนวนหุ้นสามัญถัวเฉลี่ยถ่วงน้ำหนัก (หุ้น)</t>
  </si>
  <si>
    <t>กำไรสุทธิ</t>
  </si>
  <si>
    <t>กำไรต่อหุ้นขั้นพื้นฐาน (บาท)</t>
  </si>
  <si>
    <t>ส่วนที่เป็นของผู้ถือหุ้นส่วนน้อยของบริษัทย่อย</t>
  </si>
  <si>
    <t>ส่วนที่เป็นของผู้ถือหุ้นบริษัทใหญ่</t>
  </si>
  <si>
    <t>การแบ่งปันกำไรสุทธิ</t>
  </si>
  <si>
    <t>กำไรสุทธิสำหรับงวด</t>
  </si>
  <si>
    <t>ภาษีเงินได้นิติบุคคล</t>
  </si>
  <si>
    <t>กำไรก่อนภาษีเงินได้นิติบุคคล</t>
  </si>
  <si>
    <t>ค่าใช้จ่ายทางการเงิน</t>
  </si>
  <si>
    <t>กำไรก่อนค่าใช้จ่ายทางการเงินและภาษีเงินได้นิติบุคคล</t>
  </si>
  <si>
    <t>ส่วนแบ่งกำไรจากเงินลงทุนในบริษัทร่วม</t>
  </si>
  <si>
    <t xml:space="preserve">    ค่าใช้จ่ายทางการเงินและภาษีเงินได้นิติบุคคล</t>
  </si>
  <si>
    <t>กำไรก่อนส่วนแบ่งกำไรจากเงินลงทุนในบริษัทร่วม</t>
  </si>
  <si>
    <t>รวมค่าใช้จ่าย</t>
  </si>
  <si>
    <t>ค่าตอบแทนผู้บริหาร</t>
  </si>
  <si>
    <t>ค่าใช้จ่ายในการบริหาร</t>
  </si>
  <si>
    <t xml:space="preserve">ค่าใช้จ่าย </t>
  </si>
  <si>
    <t>รวมรายได้</t>
  </si>
  <si>
    <t xml:space="preserve">รวมรายได้อื่น </t>
  </si>
  <si>
    <t>อื่น ๆ</t>
  </si>
  <si>
    <t>เงินปันผลรับ</t>
  </si>
  <si>
    <t xml:space="preserve">รายได้อื่น </t>
  </si>
  <si>
    <t>รายได้ค่ารักษาพยาบาล</t>
  </si>
  <si>
    <t xml:space="preserve">รายได้ </t>
  </si>
  <si>
    <t>หมายเหตุ</t>
  </si>
  <si>
    <t>(หน่วย: พันบาท ยกเว้นกำไรต่อหุ้นแสดงเป็นบาท)</t>
  </si>
  <si>
    <t>งบกำไรขาดทุน</t>
  </si>
  <si>
    <t>3</t>
  </si>
  <si>
    <t>กรรมการ</t>
  </si>
  <si>
    <t>รวมหนี้สินและส่วนของผู้ถือหุ้น</t>
  </si>
  <si>
    <t>รวมส่วนของผู้ถือหุ้น</t>
  </si>
  <si>
    <t>-</t>
  </si>
  <si>
    <t>ส่วนของผู้ถือหุ้นส่วนน้อยของบริษัทย่อย</t>
  </si>
  <si>
    <t>รวมส่วนของผู้ถือหุ้นของบริษัทใหญ่</t>
  </si>
  <si>
    <t>ยังไม่ได้จัดสรร</t>
  </si>
  <si>
    <t>จัดสรรแล้ว - สำรองตามกฎหมาย</t>
  </si>
  <si>
    <t>กำไรสะสม</t>
  </si>
  <si>
    <t>หุ้นกู้แปลงสภาพ - องค์ประกอบที่เป็นทุน</t>
  </si>
  <si>
    <t>ผลต่างจากการแปลงค่างบการเงิน</t>
  </si>
  <si>
    <t>ส่วนเกินทุนจากการตีราคาที่ดิน</t>
  </si>
  <si>
    <t>ส่วนต่ำกว่าทุนจากการเปลี่ยนแปลงมูลค่าเงินลงทุน</t>
  </si>
  <si>
    <t>ผลกำไร(ขาดทุน)ที่ยังไม่เกิดขึ้นจริง</t>
  </si>
  <si>
    <t>ผลต่างจากการปรับโครงสร้างการถือหุ้น</t>
  </si>
  <si>
    <t>ส่วนเกินมูลค่าหุ้นสามัญ</t>
  </si>
  <si>
    <t>ส่วนเกินมูลค่าหุ้น</t>
  </si>
  <si>
    <t xml:space="preserve">หุ้นสามัญ 1,214,498,745 หุ้น มูลค่าหุ้นละ 1 บาท </t>
  </si>
  <si>
    <t xml:space="preserve">   ทุนออกจำหน่ายและชำระเต็มมูลค่าแล้ว </t>
  </si>
  <si>
    <t xml:space="preserve">หุ้นสามัญ 1,312,264,222 หุ้น มูลค่าหุ้นละ 1 บาท </t>
  </si>
  <si>
    <t xml:space="preserve">   ทุนจดทะเบียน  </t>
  </si>
  <si>
    <t>ทุนเรือนหุ้น</t>
  </si>
  <si>
    <t>ส่วนของผู้ถือหุ้น</t>
  </si>
  <si>
    <t>หนี้สินและส่วนของผู้ถือหุ้น (ต่อ)</t>
  </si>
  <si>
    <t>แต่สอบทานแล้ว)</t>
  </si>
  <si>
    <t>(ตรวจสอบแล้ว)</t>
  </si>
  <si>
    <t>(ยังไม่ได้ตรวจสอบ</t>
  </si>
  <si>
    <t>ณ วันที่</t>
  </si>
  <si>
    <t>งบดุล (ต่อ)</t>
  </si>
  <si>
    <t xml:space="preserve"> 2</t>
  </si>
  <si>
    <t>รวมหนี้สิน</t>
  </si>
  <si>
    <t>รวมหนี้สินไม่หมุนเวียน</t>
  </si>
  <si>
    <t>รายได้รอตัดบัญชี</t>
  </si>
  <si>
    <t>หุ้นกู้</t>
  </si>
  <si>
    <t>หุ้นกู้แปลงสภาพ - องค์ประกอบที่เป็นหนี้สิน</t>
  </si>
  <si>
    <t xml:space="preserve">   ส่วนที่ถึงกำหนดชำระภายในหนึ่งปี</t>
  </si>
  <si>
    <t>หนี้สินตามสัญญาเช่าการเงิน - สุทธิจาก</t>
  </si>
  <si>
    <t>เงินกู้ยืมระยะยาวจากสถาบันการเงิน - สุทธิจาก</t>
  </si>
  <si>
    <t>หนี้สินไม่หมุนเวียน</t>
  </si>
  <si>
    <t>รวมหนี้สินหมุนเวียน</t>
  </si>
  <si>
    <t>ภาษีเงินได้นิติบุคคลค้างจ่าย</t>
  </si>
  <si>
    <t>รวมเจ้าหนี้อื่น</t>
  </si>
  <si>
    <t>กิจการที่ไม่เกี่ยวข้องกัน</t>
  </si>
  <si>
    <t>กิจการที่เกี่ยวข้องกัน</t>
  </si>
  <si>
    <t xml:space="preserve">  </t>
  </si>
  <si>
    <t>เจ้าหนี้ค่าก่อสร้างและเงินประกันผลงาน</t>
  </si>
  <si>
    <t>เงินกู้ยืมระยะสั้นจากกิจการที่เกี่ยวข้องกัน</t>
  </si>
  <si>
    <t xml:space="preserve">   ภายในหนึ่งปี</t>
  </si>
  <si>
    <t>ส่วนของหนี้สินสัญญาเช่าการเงินที่ถึงกำหนดชำระ</t>
  </si>
  <si>
    <t xml:space="preserve">   ที่ถึงกำหนดชำระภายในหนึ่งปี</t>
  </si>
  <si>
    <t>ส่วนของเงินกู้ยืมระยะยาวจากสถาบันการเงิน</t>
  </si>
  <si>
    <t>รวมเจ้าหนี้การค้า</t>
  </si>
  <si>
    <t>เงินเบิกเกินบัญชีและเงินกู้ยืมระยะสั้นจากสถาบันการเงิน</t>
  </si>
  <si>
    <t>หนี้สินหมุนเวียน</t>
  </si>
  <si>
    <t>หนี้สินและส่วนของผู้ถือหุ้น</t>
  </si>
  <si>
    <t>1</t>
  </si>
  <si>
    <t>รวมสินทรัพย์</t>
  </si>
  <si>
    <t>รวมสินทรัพย์ไม่หมุนเวียน</t>
  </si>
  <si>
    <t>อื่นๆ</t>
  </si>
  <si>
    <t>สิทธิการเช่า - สุทธิ</t>
  </si>
  <si>
    <t>ค่าความนิยม</t>
  </si>
  <si>
    <t>สินทรัพย์ไม่หมุนเวียนอื่น - สุทธิ</t>
  </si>
  <si>
    <t>สินทรัพย์ไม่มีตัวตน - สุทธิ</t>
  </si>
  <si>
    <t>ที่ดินที่ยังไม่ได้ใช้เพื่อการดำเนินงาน</t>
  </si>
  <si>
    <t>ที่ดิน อาคาร และอุปกรณ์ - สุทธิ</t>
  </si>
  <si>
    <t>เงินให้กู้ยืมระยะยาวแก่กิจการที่เกี่ยวข้องกัน</t>
  </si>
  <si>
    <t>เงินลงทุนระยะยาวอื่น - สุทธิ</t>
  </si>
  <si>
    <t>เงินลงทุนในบริษัทร่วม</t>
  </si>
  <si>
    <t>เงินลงทุนในบริษัทย่อย</t>
  </si>
  <si>
    <t>เงินฝากธนาคารที่มีภาระค้ำประกัน</t>
  </si>
  <si>
    <t>สินทรัพย์ไม่หมุนเวียน</t>
  </si>
  <si>
    <t>รวมสินทรัพย์หมุนเวียน</t>
  </si>
  <si>
    <t>สินทรัพย์หมุนเวียนอื่น - สุทธิ</t>
  </si>
  <si>
    <t>ลูกหนี้อื่น - กิจการที่เกี่ยวข้องกัน</t>
  </si>
  <si>
    <t>เงินให้กู้ยืมระยะสั้นแก่กิจการที่เกี่ยวข้องกัน</t>
  </si>
  <si>
    <t>รวมลูกหนี้การค้า - สุทธิ</t>
  </si>
  <si>
    <t>กิจการที่ไม่เกี่ยวข้องกัน - สุทธิ</t>
  </si>
  <si>
    <t>เงินลงทุนชั่วคราว - เงินฝากประจำและตั๋วสัญญาใช้เงิน</t>
  </si>
  <si>
    <t>เงินสดและรายการเทียบเท่าเงินสด</t>
  </si>
  <si>
    <t>สินทรัพย์หมุนเวียน</t>
  </si>
  <si>
    <t>สินทรัพย์</t>
  </si>
  <si>
    <t>งบดุล</t>
  </si>
  <si>
    <t xml:space="preserve"> </t>
  </si>
  <si>
    <t>รวมรายได้และค่าใช้จ่ายทั้งสิ้นที่รับรู้สำหรับงวด</t>
  </si>
  <si>
    <t>รวมรายได้และค่าใช้จ่ายที่รับรู้ในส่วนของผู้ถือหุ้น</t>
  </si>
  <si>
    <t xml:space="preserve">   ปรับมูลค่ายุติธรรมของเงินลงทุน</t>
  </si>
  <si>
    <t xml:space="preserve">   ซื้อคืนหุ้นกู้แปลงสภาพ</t>
  </si>
  <si>
    <t>รายได้และค่าใช้จ่ายที่รับรู้โดยตรงในส่วนของผู้ถือหุ้น:</t>
  </si>
  <si>
    <t>ยอดคงเหลือ ณ วันที่ 31 ธันวาคม 2551</t>
  </si>
  <si>
    <t>ยอดคงเหลือ ณ วันที่ 31 ธันวาคม 2552</t>
  </si>
  <si>
    <t>รวม</t>
  </si>
  <si>
    <t>ตามกฎหมาย</t>
  </si>
  <si>
    <t>ที่เป็นทุน</t>
  </si>
  <si>
    <t>ที่ดิน</t>
  </si>
  <si>
    <t>มูลค่าเงินลงทุน</t>
  </si>
  <si>
    <t>หุ้นสามัญ</t>
  </si>
  <si>
    <t>ชำระแล้ว</t>
  </si>
  <si>
    <t>สำรอง</t>
  </si>
  <si>
    <t>องค์ประกอบ</t>
  </si>
  <si>
    <t>จากการตีราคา</t>
  </si>
  <si>
    <t>จากการเปลี่ยนแปลง</t>
  </si>
  <si>
    <t>ส่วนเกินมูลค่า</t>
  </si>
  <si>
    <t>ที่ออกและ</t>
  </si>
  <si>
    <t>จัดสรรแล้ว -</t>
  </si>
  <si>
    <t xml:space="preserve">แปลงสภาพ - </t>
  </si>
  <si>
    <t>ส่วนเกินทุน</t>
  </si>
  <si>
    <t>ส่วนเกิน(ต่ำกว่า)ทุน</t>
  </si>
  <si>
    <t>งบแสดงการเปลี่ยนแปลงส่วนของผู้ถือหุ้น (ต่อ)</t>
  </si>
  <si>
    <t>ส่วนของผู้ถือหุ้นส่วนน้อยลดลง</t>
  </si>
  <si>
    <t xml:space="preserve">   ผลต่างจากการแปลงค่างบการเงิน</t>
  </si>
  <si>
    <t>ของบริษัทย่อย</t>
  </si>
  <si>
    <t>บริษัทใหญ่</t>
  </si>
  <si>
    <t>แปลงค่างบการเงิน</t>
  </si>
  <si>
    <t>การถือหุ้น</t>
  </si>
  <si>
    <t>ส่วนน้อย</t>
  </si>
  <si>
    <t>ผู้ถือหุ้น</t>
  </si>
  <si>
    <t>ผลต่างจากการ</t>
  </si>
  <si>
    <t>ปรับโครงสร้าง</t>
  </si>
  <si>
    <t>รวมส่วนของ</t>
  </si>
  <si>
    <t>ส่วนต่ำกว่าทุน</t>
  </si>
  <si>
    <t>ส่วนของ</t>
  </si>
  <si>
    <t>ส่วนของผู้ถือหุ้นของบริษัทใหญ่</t>
  </si>
  <si>
    <t>งบแสดงการเปลี่ยนแปลงส่วนของผู้ถือหุ้น</t>
  </si>
  <si>
    <t>สำหรับงวดสามเดือนสิ้นสุดวันที่ 30 มิถุนายน 2553 และ 2552</t>
  </si>
  <si>
    <t>ยอดคงเหลือ ณ วันที่ 30 มิถุนายน 2553</t>
  </si>
  <si>
    <t>ยอดคงเหลือ ณ วันที่ 30 มิถุนายน 2552</t>
  </si>
  <si>
    <t>5</t>
  </si>
  <si>
    <t>สำหรับงวดหกเดือนสิ้นสุดวันที่ 30 มิถุนายน 2553 และ 2552</t>
  </si>
  <si>
    <t>เงินปันผลจ่าย</t>
  </si>
  <si>
    <t>เงินกู้ยืมระยะสั้นจากกิจการที่เกี่ยวข้องกันเพิ่มขึ้น (ลดลง)</t>
  </si>
  <si>
    <t>เงินเบิกเกินบัญชีและเงินกู้ยืมระยะสั้นจากสถาบันการเงินลดลง</t>
  </si>
  <si>
    <t>เงินสดรับจากการออกหุ้นกู้</t>
  </si>
  <si>
    <t>เงินปันผลจ่ายของบริษัทย่อยแก่ผู้ถือหุ้นส่วนน้อย</t>
  </si>
  <si>
    <t>เงินลงทุนชั่วคราว(เพิ่มขึ้น)ลดลง</t>
  </si>
  <si>
    <t xml:space="preserve">         </t>
  </si>
  <si>
    <t>เงินฝากธนาคารที่มีภาระค้ำประกันเพิ่มขึ้น</t>
  </si>
  <si>
    <t>ต้นทุนค่ารักษาพยาบาล ต้นทุนขายและต้นทุนอาหาร</t>
  </si>
  <si>
    <t>เงินสดสุทธิได้มาจาก(ใช้ไป)ในกิจกรรมลงทุน</t>
  </si>
  <si>
    <t>รายได้จากการจำหน่ายสินค้าและอาหาร</t>
  </si>
  <si>
    <t>เจ้าหนี้ค่าซื้อที่ดิน อาคารและอุปกรณ์เพิ่มขึ้น(ลดลง)</t>
  </si>
  <si>
    <t>ขาดทุนจากการด้อยค่าทรัพย์สิน</t>
  </si>
  <si>
    <t>ส่วนของหุ้นกู้ที่ถึงกำหนดชำระภายในหนึ่งปี</t>
  </si>
  <si>
    <t>หุ้นกู้ - สุทธิจากส่วนที่ถึงกำหนดชำระภายในหนึ่งปี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</si>
</sst>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\ ;\(#,##0\)"/>
    <numFmt numFmtId="169" formatCode="_(* #,##0_);_(* \(#,##0\);_(* &quot;-&quot;??_);_(@_)"/>
    <numFmt numFmtId="170" formatCode="#,##0.0\ ;\(#,##0.0\)"/>
    <numFmt numFmtId="171" formatCode="#,##0.00\ &quot;F&quot;;\-#,##0.00\ &quot;F&quot;"/>
    <numFmt numFmtId="172" formatCode="dd\-mmm\-yy_)"/>
    <numFmt numFmtId="173" formatCode="0.0%"/>
    <numFmt numFmtId="174" formatCode="0.00_)"/>
    <numFmt numFmtId="175" formatCode="_(* #,##0_);_(* \(#,##0\);_(* &quot; -    &quot;_);_(@_)"/>
    <numFmt numFmtId="176" formatCode="dd\ mmmm\ yyyy"/>
    <numFmt numFmtId="177" formatCode="#,##0.0;[Red]\-#,##0.0"/>
  </numFmts>
  <fonts count="55">
    <font>
      <sz val="15"/>
      <name val="Angsana New"/>
      <family val="1"/>
    </font>
    <font>
      <sz val="10"/>
      <color indexed="8"/>
      <name val="Arial"/>
      <family val="2"/>
    </font>
    <font>
      <sz val="13"/>
      <name val="Angsana New"/>
      <family val="1"/>
    </font>
    <font>
      <b/>
      <sz val="13"/>
      <name val="Angsana New"/>
      <family val="1"/>
    </font>
    <font>
      <sz val="10"/>
      <name val="Arial"/>
      <family val="2"/>
    </font>
    <font>
      <u val="single"/>
      <sz val="13"/>
      <name val="Angsana New"/>
      <family val="1"/>
    </font>
    <font>
      <i/>
      <sz val="13"/>
      <name val="Angsana New"/>
      <family val="1"/>
    </font>
    <font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ApFont"/>
      <family val="0"/>
    </font>
    <font>
      <sz val="14"/>
      <name val="Angsana New"/>
      <family val="1"/>
    </font>
    <font>
      <sz val="12"/>
      <name val="Angsana New"/>
      <family val="1"/>
    </font>
    <font>
      <sz val="8"/>
      <name val="Angsana New"/>
      <family val="1"/>
    </font>
    <font>
      <sz val="18"/>
      <name val="Angsana New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6.5"/>
      <color indexed="12"/>
      <name val="Angsana New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6.5"/>
      <color theme="10"/>
      <name val="Angsana New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ngsan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10" fillId="0" borderId="0">
      <alignment/>
      <protection/>
    </xf>
    <xf numFmtId="173" fontId="1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38" fontId="11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10" fontId="11" fillId="32" borderId="6" applyNumberFormat="0" applyBorder="0" applyAlignment="0" applyProtection="0"/>
    <xf numFmtId="0" fontId="48" fillId="0" borderId="7" applyNumberFormat="0" applyFill="0" applyAlignment="0" applyProtection="0"/>
    <xf numFmtId="0" fontId="49" fillId="33" borderId="0" applyNumberFormat="0" applyBorder="0" applyAlignment="0" applyProtection="0"/>
    <xf numFmtId="37" fontId="12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68" fontId="15" fillId="0" borderId="0">
      <alignment/>
      <protection/>
    </xf>
    <xf numFmtId="0" fontId="1" fillId="34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1" fontId="4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168" fontId="0" fillId="0" borderId="0" xfId="0" applyAlignment="1">
      <alignment/>
    </xf>
    <xf numFmtId="168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168" fontId="2" fillId="0" borderId="0" xfId="0" applyFont="1" applyFill="1" applyAlignment="1">
      <alignment horizontal="center"/>
    </xf>
    <xf numFmtId="168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 vertical="center"/>
    </xf>
    <xf numFmtId="168" fontId="2" fillId="0" borderId="0" xfId="0" applyFont="1" applyFill="1" applyAlignment="1">
      <alignment/>
    </xf>
    <xf numFmtId="41" fontId="2" fillId="0" borderId="12" xfId="0" applyNumberFormat="1" applyFont="1" applyFill="1" applyBorder="1" applyAlignment="1">
      <alignment horizontal="right"/>
    </xf>
    <xf numFmtId="168" fontId="3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169" fontId="2" fillId="0" borderId="0" xfId="42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 horizontal="right"/>
    </xf>
    <xf numFmtId="168" fontId="2" fillId="0" borderId="0" xfId="0" applyFont="1" applyFill="1" applyBorder="1" applyAlignment="1">
      <alignment vertical="center"/>
    </xf>
    <xf numFmtId="168" fontId="2" fillId="0" borderId="0" xfId="0" applyFont="1" applyFill="1" applyBorder="1" applyAlignment="1">
      <alignment/>
    </xf>
    <xf numFmtId="168" fontId="2" fillId="0" borderId="0" xfId="0" applyFont="1" applyFill="1" applyBorder="1" applyAlignment="1">
      <alignment vertical="top"/>
    </xf>
    <xf numFmtId="41" fontId="2" fillId="0" borderId="0" xfId="0" applyNumberFormat="1" applyFont="1" applyFill="1" applyBorder="1" applyAlignment="1">
      <alignment horizontal="right" vertical="center"/>
    </xf>
    <xf numFmtId="168" fontId="3" fillId="0" borderId="0" xfId="0" applyFont="1" applyFill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8" fontId="5" fillId="0" borderId="0" xfId="0" applyFont="1" applyFill="1" applyAlignment="1">
      <alignment horizontal="center" vertical="center"/>
    </xf>
    <xf numFmtId="37" fontId="2" fillId="0" borderId="14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Alignment="1" quotePrefix="1">
      <alignment horizontal="right"/>
    </xf>
    <xf numFmtId="37" fontId="2" fillId="0" borderId="0" xfId="0" applyNumberFormat="1" applyFont="1" applyFill="1" applyAlignment="1">
      <alignment horizontal="centerContinuous"/>
    </xf>
    <xf numFmtId="168" fontId="2" fillId="0" borderId="0" xfId="0" applyFont="1" applyFill="1" applyAlignment="1">
      <alignment horizontal="centerContinuous"/>
    </xf>
    <xf numFmtId="168" fontId="3" fillId="0" borderId="0" xfId="0" applyFont="1" applyFill="1" applyAlignment="1">
      <alignment horizontal="left"/>
    </xf>
    <xf numFmtId="41" fontId="2" fillId="0" borderId="14" xfId="0" applyNumberFormat="1" applyFont="1" applyFill="1" applyBorder="1" applyAlignment="1">
      <alignment horizontal="right" vertical="center"/>
    </xf>
    <xf numFmtId="168" fontId="2" fillId="0" borderId="0" xfId="0" applyFont="1" applyFill="1" applyAlignment="1">
      <alignment horizontal="left" vertical="center"/>
    </xf>
    <xf numFmtId="41" fontId="2" fillId="0" borderId="0" xfId="42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8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right"/>
    </xf>
    <xf numFmtId="168" fontId="6" fillId="0" borderId="0" xfId="0" applyFont="1" applyFill="1" applyAlignment="1">
      <alignment horizontal="center"/>
    </xf>
    <xf numFmtId="41" fontId="2" fillId="0" borderId="15" xfId="0" applyNumberFormat="1" applyFont="1" applyFill="1" applyBorder="1" applyAlignment="1">
      <alignment horizontal="right"/>
    </xf>
    <xf numFmtId="168" fontId="6" fillId="0" borderId="0" xfId="0" applyFont="1" applyFill="1" applyAlignment="1">
      <alignment horizontal="center" wrapText="1"/>
    </xf>
    <xf numFmtId="168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 horizontal="right"/>
    </xf>
    <xf numFmtId="41" fontId="2" fillId="0" borderId="15" xfId="42" applyNumberFormat="1" applyFont="1" applyFill="1" applyBorder="1" applyAlignment="1">
      <alignment horizontal="right"/>
    </xf>
    <xf numFmtId="41" fontId="2" fillId="0" borderId="1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wrapText="1"/>
    </xf>
    <xf numFmtId="41" fontId="2" fillId="0" borderId="14" xfId="42" applyNumberFormat="1" applyFont="1" applyFill="1" applyBorder="1" applyAlignment="1">
      <alignment horizontal="right"/>
    </xf>
    <xf numFmtId="168" fontId="6" fillId="0" borderId="0" xfId="0" applyFont="1" applyFill="1" applyAlignment="1">
      <alignment horizontal="left" wrapText="1"/>
    </xf>
    <xf numFmtId="168" fontId="2" fillId="0" borderId="0" xfId="0" applyFont="1" applyFill="1" applyAlignment="1">
      <alignment horizontal="justify" wrapText="1"/>
    </xf>
    <xf numFmtId="168" fontId="6" fillId="0" borderId="0" xfId="0" applyFont="1" applyFill="1" applyAlignment="1">
      <alignment wrapText="1"/>
    </xf>
    <xf numFmtId="168" fontId="2" fillId="0" borderId="0" xfId="0" applyFont="1" applyFill="1" applyAlignment="1">
      <alignment horizontal="center" wrapText="1"/>
    </xf>
    <xf numFmtId="41" fontId="2" fillId="0" borderId="16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 horizontal="right"/>
    </xf>
    <xf numFmtId="168" fontId="3" fillId="0" borderId="0" xfId="0" applyFont="1" applyFill="1" applyAlignment="1">
      <alignment horizontal="justify" wrapText="1"/>
    </xf>
    <xf numFmtId="38" fontId="2" fillId="0" borderId="18" xfId="0" applyNumberFormat="1" applyFont="1" applyFill="1" applyBorder="1" applyAlignment="1">
      <alignment vertical="center"/>
    </xf>
    <xf numFmtId="168" fontId="2" fillId="0" borderId="0" xfId="0" applyFont="1" applyFill="1" applyAlignment="1">
      <alignment horizontal="left"/>
    </xf>
    <xf numFmtId="38" fontId="2" fillId="0" borderId="0" xfId="0" applyNumberFormat="1" applyFont="1" applyFill="1" applyAlignment="1">
      <alignment vertical="center"/>
    </xf>
    <xf numFmtId="168" fontId="6" fillId="0" borderId="0" xfId="0" applyFont="1" applyFill="1" applyBorder="1" applyAlignment="1">
      <alignment horizontal="center" wrapText="1"/>
    </xf>
    <xf numFmtId="168" fontId="2" fillId="0" borderId="0" xfId="0" applyFont="1" applyFill="1" applyAlignment="1">
      <alignment horizontal="justify"/>
    </xf>
    <xf numFmtId="168" fontId="2" fillId="0" borderId="0" xfId="0" applyFont="1" applyFill="1" applyAlignment="1">
      <alignment vertical="top"/>
    </xf>
    <xf numFmtId="41" fontId="2" fillId="0" borderId="0" xfId="0" applyNumberFormat="1" applyFont="1" applyFill="1" applyBorder="1" applyAlignment="1">
      <alignment horizontal="right" vertical="top"/>
    </xf>
    <xf numFmtId="168" fontId="6" fillId="0" borderId="0" xfId="0" applyFont="1" applyFill="1" applyBorder="1" applyAlignment="1">
      <alignment horizontal="center"/>
    </xf>
    <xf numFmtId="168" fontId="2" fillId="0" borderId="0" xfId="0" applyFont="1" applyFill="1" applyAlignment="1">
      <alignment horizontal="center" vertical="top" wrapText="1"/>
    </xf>
    <xf numFmtId="168" fontId="6" fillId="0" borderId="0" xfId="0" applyFont="1" applyFill="1" applyBorder="1" applyAlignment="1">
      <alignment horizontal="center" vertical="top" wrapText="1"/>
    </xf>
    <xf numFmtId="168" fontId="2" fillId="0" borderId="0" xfId="0" applyFont="1" applyFill="1" applyAlignment="1">
      <alignment horizontal="justify" vertical="top"/>
    </xf>
    <xf numFmtId="37" fontId="2" fillId="0" borderId="0" xfId="0" applyNumberFormat="1" applyFont="1" applyFill="1" applyBorder="1" applyAlignment="1">
      <alignment horizontal="right" vertical="top"/>
    </xf>
    <xf numFmtId="168" fontId="2" fillId="0" borderId="0" xfId="0" applyFont="1" applyFill="1" applyBorder="1" applyAlignment="1">
      <alignment horizontal="center" vertical="center"/>
    </xf>
    <xf numFmtId="168" fontId="2" fillId="0" borderId="0" xfId="0" applyFont="1" applyFill="1" applyAlignment="1">
      <alignment horizontal="right" vertical="center"/>
    </xf>
    <xf numFmtId="168" fontId="5" fillId="0" borderId="0" xfId="0" applyFont="1" applyFill="1" applyAlignment="1">
      <alignment horizontal="right" vertical="center"/>
    </xf>
    <xf numFmtId="168" fontId="2" fillId="0" borderId="14" xfId="0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>
      <alignment horizontal="left"/>
    </xf>
    <xf numFmtId="168" fontId="7" fillId="0" borderId="0" xfId="0" applyFont="1" applyFill="1" applyAlignment="1">
      <alignment vertical="center"/>
    </xf>
    <xf numFmtId="41" fontId="2" fillId="0" borderId="19" xfId="0" applyNumberFormat="1" applyFont="1" applyFill="1" applyBorder="1" applyAlignment="1">
      <alignment horizontal="right"/>
    </xf>
    <xf numFmtId="170" fontId="6" fillId="0" borderId="0" xfId="0" applyNumberFormat="1" applyFont="1" applyFill="1" applyAlignment="1">
      <alignment horizontal="center" wrapText="1"/>
    </xf>
    <xf numFmtId="168" fontId="6" fillId="0" borderId="0" xfId="0" applyNumberFormat="1" applyFont="1" applyFill="1" applyAlignment="1">
      <alignment horizontal="center" wrapText="1"/>
    </xf>
    <xf numFmtId="168" fontId="2" fillId="0" borderId="0" xfId="65" applyFont="1" applyFill="1" applyAlignment="1">
      <alignment vertical="center"/>
      <protection/>
    </xf>
    <xf numFmtId="37" fontId="2" fillId="0" borderId="0" xfId="65" applyNumberFormat="1" applyFont="1" applyFill="1" applyAlignment="1">
      <alignment vertical="center"/>
      <protection/>
    </xf>
    <xf numFmtId="41" fontId="2" fillId="0" borderId="12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168" fontId="6" fillId="0" borderId="0" xfId="0" applyFont="1" applyFill="1" applyAlignment="1">
      <alignment horizontal="center" vertical="center"/>
    </xf>
    <xf numFmtId="41" fontId="2" fillId="0" borderId="0" xfId="42" applyNumberFormat="1" applyFont="1" applyFill="1" applyBorder="1" applyAlignment="1">
      <alignment horizontal="right" vertical="center"/>
    </xf>
    <xf numFmtId="37" fontId="2" fillId="0" borderId="0" xfId="42" applyNumberFormat="1" applyFont="1" applyFill="1" applyBorder="1" applyAlignment="1">
      <alignment vertical="center"/>
    </xf>
    <xf numFmtId="37" fontId="6" fillId="0" borderId="0" xfId="0" applyNumberFormat="1" applyFont="1" applyFill="1" applyAlignment="1">
      <alignment horizontal="center" vertical="center"/>
    </xf>
    <xf numFmtId="168" fontId="2" fillId="0" borderId="0" xfId="65" applyFont="1" applyFill="1" applyAlignment="1">
      <alignment horizontal="center" vertical="center"/>
      <protection/>
    </xf>
    <xf numFmtId="37" fontId="2" fillId="0" borderId="0" xfId="65" applyNumberFormat="1" applyFont="1" applyFill="1" applyAlignment="1">
      <alignment horizontal="center" vertical="center"/>
      <protection/>
    </xf>
    <xf numFmtId="37" fontId="2" fillId="0" borderId="14" xfId="65" applyNumberFormat="1" applyFont="1" applyFill="1" applyBorder="1" applyAlignment="1">
      <alignment horizontal="center" vertical="center"/>
      <protection/>
    </xf>
    <xf numFmtId="37" fontId="2" fillId="0" borderId="0" xfId="65" applyNumberFormat="1" applyFont="1" applyFill="1" applyBorder="1" applyAlignment="1">
      <alignment horizontal="center" vertical="center"/>
      <protection/>
    </xf>
    <xf numFmtId="37" fontId="16" fillId="35" borderId="14" xfId="65" applyNumberFormat="1" applyFont="1" applyFill="1" applyBorder="1" applyAlignment="1">
      <alignment horizontal="center"/>
      <protection/>
    </xf>
    <xf numFmtId="37" fontId="5" fillId="0" borderId="0" xfId="0" applyNumberFormat="1" applyFont="1" applyFill="1" applyAlignment="1">
      <alignment horizontal="center" vertical="center"/>
    </xf>
    <xf numFmtId="37" fontId="16" fillId="35" borderId="0" xfId="65" applyNumberFormat="1" applyFont="1" applyFill="1" applyAlignment="1">
      <alignment horizontal="center"/>
      <protection/>
    </xf>
    <xf numFmtId="37" fontId="2" fillId="0" borderId="19" xfId="65" applyNumberFormat="1" applyFont="1" applyFill="1" applyBorder="1" applyAlignment="1">
      <alignment vertical="center"/>
      <protection/>
    </xf>
    <xf numFmtId="37" fontId="2" fillId="0" borderId="0" xfId="65" applyNumberFormat="1" applyFont="1" applyFill="1" applyBorder="1" applyAlignment="1">
      <alignment vertical="center"/>
      <protection/>
    </xf>
    <xf numFmtId="168" fontId="2" fillId="0" borderId="0" xfId="65" applyFont="1" applyFill="1" applyBorder="1" applyAlignment="1">
      <alignment vertical="center"/>
      <protection/>
    </xf>
    <xf numFmtId="37" fontId="2" fillId="0" borderId="0" xfId="64" applyNumberFormat="1" applyFont="1" applyFill="1" applyBorder="1" applyAlignment="1">
      <alignment horizontal="right" vertical="center"/>
      <protection/>
    </xf>
    <xf numFmtId="168" fontId="3" fillId="0" borderId="0" xfId="65" applyFont="1" applyFill="1" applyAlignment="1">
      <alignment horizontal="left" vertical="center"/>
      <protection/>
    </xf>
    <xf numFmtId="168" fontId="3" fillId="0" borderId="0" xfId="65" applyFont="1" applyFill="1" applyAlignment="1">
      <alignment vertical="center"/>
      <protection/>
    </xf>
    <xf numFmtId="168" fontId="2" fillId="0" borderId="0" xfId="65" applyFont="1" applyFill="1" applyBorder="1" applyAlignment="1">
      <alignment horizontal="center" vertical="center"/>
      <protection/>
    </xf>
    <xf numFmtId="37" fontId="2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41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Alignment="1">
      <alignment vertical="center"/>
    </xf>
    <xf numFmtId="37" fontId="18" fillId="0" borderId="0" xfId="65" applyNumberFormat="1" applyFont="1" applyFill="1" applyAlignment="1">
      <alignment vertical="center"/>
      <protection/>
    </xf>
    <xf numFmtId="168" fontId="3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37" fontId="2" fillId="0" borderId="14" xfId="65" applyNumberFormat="1" applyFont="1" applyFill="1" applyBorder="1" applyAlignment="1">
      <alignment horizontal="center" vertical="center"/>
      <protection/>
    </xf>
    <xf numFmtId="37" fontId="2" fillId="0" borderId="13" xfId="65" applyNumberFormat="1" applyFont="1" applyFill="1" applyBorder="1" applyAlignment="1">
      <alignment horizontal="center" vertical="center"/>
      <protection/>
    </xf>
    <xf numFmtId="168" fontId="2" fillId="0" borderId="0" xfId="65" applyFont="1" applyFill="1" applyAlignment="1" quotePrefix="1">
      <alignment horizontal="right" vertical="center"/>
      <protection/>
    </xf>
    <xf numFmtId="168" fontId="18" fillId="0" borderId="0" xfId="65" applyFont="1" applyFill="1" applyAlignment="1" quotePrefix="1">
      <alignment horizontal="righ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 dec" xfId="61"/>
    <cellStyle name="Normal - Style1" xfId="62"/>
    <cellStyle name="Normal 3" xfId="63"/>
    <cellStyle name="Normal_CE-Thai" xfId="64"/>
    <cellStyle name="Normal_conso-Samitivej03-Accounts-A3112t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Report\Audited%20Financial%20statement%20report\Conso\2010\Q2'10\BGH%20Q2'10\BGH%20Conso%20Q2'10\BGH%20Cashflow%20Q2'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BS"/>
      <sheetName val="CF-Conso"/>
      <sheetName val="Com BS"/>
      <sheetName val="CF-Com"/>
      <sheetName val="Loan"/>
    </sheetNames>
    <sheetDataSet>
      <sheetData sheetId="0">
        <row r="6">
          <cell r="J6">
            <v>1517938</v>
          </cell>
        </row>
        <row r="7">
          <cell r="J7">
            <v>2051815</v>
          </cell>
        </row>
        <row r="9">
          <cell r="J9">
            <v>1649</v>
          </cell>
        </row>
        <row r="10">
          <cell r="J10">
            <v>1512180</v>
          </cell>
        </row>
        <row r="12">
          <cell r="J12">
            <v>0</v>
          </cell>
        </row>
        <row r="13">
          <cell r="J13">
            <v>15116</v>
          </cell>
        </row>
        <row r="15">
          <cell r="J15">
            <v>6160</v>
          </cell>
        </row>
        <row r="16">
          <cell r="J16">
            <v>219310</v>
          </cell>
        </row>
        <row r="18">
          <cell r="J18">
            <v>214926</v>
          </cell>
        </row>
        <row r="24">
          <cell r="J24">
            <v>16221</v>
          </cell>
        </row>
        <row r="25">
          <cell r="J25">
            <v>0</v>
          </cell>
        </row>
        <row r="26">
          <cell r="J26">
            <v>2119968</v>
          </cell>
        </row>
        <row r="27">
          <cell r="J27">
            <v>1639978</v>
          </cell>
        </row>
        <row r="28">
          <cell r="J28">
            <v>0</v>
          </cell>
        </row>
        <row r="29">
          <cell r="J29">
            <v>18605474</v>
          </cell>
        </row>
        <row r="30">
          <cell r="J30">
            <v>472414</v>
          </cell>
        </row>
        <row r="31">
          <cell r="J31">
            <v>1299169</v>
          </cell>
        </row>
        <row r="32">
          <cell r="J32">
            <v>174454</v>
          </cell>
        </row>
        <row r="33">
          <cell r="J33">
            <v>530708</v>
          </cell>
        </row>
        <row r="34">
          <cell r="J34">
            <v>69717</v>
          </cell>
        </row>
        <row r="42">
          <cell r="J42">
            <v>31706</v>
          </cell>
        </row>
        <row r="44">
          <cell r="J44">
            <v>0</v>
          </cell>
        </row>
        <row r="46">
          <cell r="J46">
            <v>69139</v>
          </cell>
        </row>
        <row r="47">
          <cell r="J47">
            <v>885267</v>
          </cell>
        </row>
        <row r="49">
          <cell r="J49">
            <v>356964</v>
          </cell>
        </row>
        <row r="50">
          <cell r="J50">
            <v>88836</v>
          </cell>
        </row>
        <row r="51">
          <cell r="J51">
            <v>92495</v>
          </cell>
        </row>
        <row r="53">
          <cell r="J53">
            <v>3442</v>
          </cell>
        </row>
        <row r="55">
          <cell r="J55">
            <v>257612</v>
          </cell>
        </row>
        <row r="56">
          <cell r="J56">
            <v>315853</v>
          </cell>
        </row>
        <row r="57">
          <cell r="J57">
            <v>1228298</v>
          </cell>
        </row>
        <row r="61">
          <cell r="J61">
            <v>241188</v>
          </cell>
        </row>
        <row r="64">
          <cell r="J64">
            <v>2428285</v>
          </cell>
        </row>
        <row r="66">
          <cell r="J66">
            <v>93785</v>
          </cell>
        </row>
        <row r="67">
          <cell r="J67">
            <v>1138000</v>
          </cell>
        </row>
        <row r="69">
          <cell r="J69">
            <v>165231</v>
          </cell>
        </row>
        <row r="70">
          <cell r="J70">
            <v>151192</v>
          </cell>
        </row>
        <row r="104">
          <cell r="J104">
            <v>74372</v>
          </cell>
        </row>
        <row r="105">
          <cell r="J105">
            <v>24098</v>
          </cell>
        </row>
        <row r="106">
          <cell r="J106">
            <v>85</v>
          </cell>
        </row>
        <row r="116">
          <cell r="J116">
            <v>6473027</v>
          </cell>
        </row>
        <row r="117">
          <cell r="J117">
            <v>2222191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9751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1069872</v>
          </cell>
        </row>
        <row r="128">
          <cell r="J128">
            <v>0</v>
          </cell>
        </row>
        <row r="129">
          <cell r="J129">
            <v>120169</v>
          </cell>
        </row>
        <row r="131">
          <cell r="J131">
            <v>306146</v>
          </cell>
        </row>
        <row r="132">
          <cell r="J132">
            <v>386775</v>
          </cell>
        </row>
        <row r="134">
          <cell r="J134">
            <v>-37046</v>
          </cell>
        </row>
      </sheetData>
      <sheetData sheetId="1">
        <row r="9">
          <cell r="Q9">
            <v>1680</v>
          </cell>
        </row>
        <row r="10">
          <cell r="Q10">
            <v>45417</v>
          </cell>
        </row>
        <row r="11">
          <cell r="Q11">
            <v>4074</v>
          </cell>
        </row>
        <row r="12">
          <cell r="Q12">
            <v>-19119</v>
          </cell>
        </row>
        <row r="13">
          <cell r="Q13">
            <v>-120169</v>
          </cell>
        </row>
        <row r="15">
          <cell r="Q15">
            <v>0</v>
          </cell>
        </row>
        <row r="18">
          <cell r="Q18">
            <v>4409</v>
          </cell>
        </row>
        <row r="19">
          <cell r="Q19">
            <v>-1243</v>
          </cell>
        </row>
        <row r="20">
          <cell r="Q20">
            <v>0</v>
          </cell>
        </row>
        <row r="23">
          <cell r="Q23">
            <v>-24098</v>
          </cell>
        </row>
        <row r="29">
          <cell r="Q29">
            <v>4466</v>
          </cell>
        </row>
        <row r="31">
          <cell r="Q31">
            <v>-47460</v>
          </cell>
        </row>
        <row r="32">
          <cell r="Q32">
            <v>1356</v>
          </cell>
        </row>
        <row r="34">
          <cell r="Q34">
            <v>-38078</v>
          </cell>
        </row>
        <row r="35">
          <cell r="Q35">
            <v>163553</v>
          </cell>
        </row>
        <row r="36">
          <cell r="Q36">
            <v>11392</v>
          </cell>
        </row>
        <row r="40">
          <cell r="Q40">
            <v>6200</v>
          </cell>
        </row>
        <row r="41">
          <cell r="Q41">
            <v>-284448</v>
          </cell>
        </row>
        <row r="42">
          <cell r="Q42">
            <v>-307413</v>
          </cell>
        </row>
        <row r="45">
          <cell r="Q45">
            <v>-849987</v>
          </cell>
        </row>
        <row r="46">
          <cell r="Q46">
            <v>-249</v>
          </cell>
        </row>
        <row r="52">
          <cell r="Q52">
            <v>27616</v>
          </cell>
        </row>
        <row r="53">
          <cell r="Q53">
            <v>14240</v>
          </cell>
        </row>
        <row r="54">
          <cell r="Q54">
            <v>-106505</v>
          </cell>
        </row>
        <row r="55">
          <cell r="Q55">
            <v>5082</v>
          </cell>
        </row>
        <row r="56">
          <cell r="Q56">
            <v>-539615</v>
          </cell>
        </row>
        <row r="57">
          <cell r="Q57">
            <v>0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-16918</v>
          </cell>
        </row>
        <row r="63">
          <cell r="Q63">
            <v>0</v>
          </cell>
        </row>
        <row r="64">
          <cell r="Q64">
            <v>0</v>
          </cell>
        </row>
        <row r="67">
          <cell r="Q67">
            <v>0</v>
          </cell>
        </row>
        <row r="68">
          <cell r="Q68">
            <v>-181300</v>
          </cell>
        </row>
        <row r="69">
          <cell r="Q69">
            <v>-56993</v>
          </cell>
        </row>
        <row r="70">
          <cell r="Q70">
            <v>0</v>
          </cell>
        </row>
        <row r="72">
          <cell r="Q72">
            <v>0</v>
          </cell>
        </row>
        <row r="74">
          <cell r="Q74">
            <v>-850140</v>
          </cell>
        </row>
        <row r="75">
          <cell r="Q75">
            <v>-25901</v>
          </cell>
        </row>
        <row r="87">
          <cell r="Q87">
            <v>58557</v>
          </cell>
        </row>
        <row r="88">
          <cell r="Q88">
            <v>-64817</v>
          </cell>
        </row>
        <row r="89">
          <cell r="Q89">
            <v>9802</v>
          </cell>
        </row>
        <row r="91">
          <cell r="Q91">
            <v>0</v>
          </cell>
        </row>
        <row r="93">
          <cell r="Q93">
            <v>6160</v>
          </cell>
        </row>
      </sheetData>
      <sheetData sheetId="2">
        <row r="6">
          <cell r="J6">
            <v>844643</v>
          </cell>
        </row>
        <row r="7">
          <cell r="J7">
            <v>2039723</v>
          </cell>
        </row>
        <row r="9">
          <cell r="J9">
            <v>7182</v>
          </cell>
        </row>
        <row r="10">
          <cell r="J10">
            <v>569774</v>
          </cell>
        </row>
        <row r="12">
          <cell r="J12">
            <v>114365</v>
          </cell>
        </row>
        <row r="13">
          <cell r="J13">
            <v>37788</v>
          </cell>
        </row>
        <row r="15">
          <cell r="J15">
            <v>5250</v>
          </cell>
        </row>
        <row r="16">
          <cell r="J16">
            <v>53573</v>
          </cell>
        </row>
        <row r="18">
          <cell r="J18">
            <v>79765</v>
          </cell>
        </row>
        <row r="25">
          <cell r="J25">
            <v>7791833</v>
          </cell>
        </row>
        <row r="26">
          <cell r="J26">
            <v>1666391</v>
          </cell>
        </row>
        <row r="27">
          <cell r="J27">
            <v>1639688</v>
          </cell>
        </row>
        <row r="28">
          <cell r="J28">
            <v>2231983</v>
          </cell>
        </row>
        <row r="29">
          <cell r="J29">
            <v>4864426</v>
          </cell>
        </row>
        <row r="30">
          <cell r="J30">
            <v>472414</v>
          </cell>
        </row>
        <row r="31">
          <cell r="J31">
            <v>0</v>
          </cell>
        </row>
        <row r="32">
          <cell r="J32">
            <v>80908</v>
          </cell>
        </row>
        <row r="33">
          <cell r="J33">
            <v>61111</v>
          </cell>
        </row>
        <row r="34">
          <cell r="J34">
            <v>14433</v>
          </cell>
        </row>
        <row r="42">
          <cell r="J42">
            <v>0</v>
          </cell>
        </row>
        <row r="44">
          <cell r="J44">
            <v>778011</v>
          </cell>
        </row>
        <row r="46">
          <cell r="J46">
            <v>87759</v>
          </cell>
        </row>
        <row r="47">
          <cell r="J47">
            <v>259859</v>
          </cell>
        </row>
        <row r="49">
          <cell r="J49">
            <v>343800</v>
          </cell>
        </row>
        <row r="50">
          <cell r="J50">
            <v>926</v>
          </cell>
        </row>
        <row r="51">
          <cell r="J51">
            <v>18423</v>
          </cell>
        </row>
        <row r="53">
          <cell r="J53">
            <v>15802</v>
          </cell>
        </row>
        <row r="55">
          <cell r="J55">
            <v>77371</v>
          </cell>
        </row>
        <row r="56">
          <cell r="J56">
            <v>41516</v>
          </cell>
        </row>
        <row r="57">
          <cell r="J57">
            <v>479737</v>
          </cell>
        </row>
        <row r="61">
          <cell r="J61">
            <v>82082</v>
          </cell>
        </row>
        <row r="64">
          <cell r="J64">
            <v>2292000</v>
          </cell>
        </row>
        <row r="66">
          <cell r="J66">
            <v>549</v>
          </cell>
        </row>
        <row r="67">
          <cell r="J67">
            <v>1138000</v>
          </cell>
        </row>
        <row r="69">
          <cell r="J69">
            <v>165231</v>
          </cell>
        </row>
        <row r="70">
          <cell r="J70">
            <v>82773</v>
          </cell>
        </row>
        <row r="102">
          <cell r="J102">
            <v>3486808</v>
          </cell>
        </row>
        <row r="104">
          <cell r="J104">
            <v>17344</v>
          </cell>
        </row>
        <row r="105">
          <cell r="J105">
            <v>88346</v>
          </cell>
        </row>
        <row r="106">
          <cell r="J106">
            <v>570627</v>
          </cell>
        </row>
        <row r="112">
          <cell r="J112">
            <v>152891</v>
          </cell>
        </row>
        <row r="116">
          <cell r="J116">
            <v>1987196</v>
          </cell>
        </row>
        <row r="117">
          <cell r="J117">
            <v>913472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9751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353503</v>
          </cell>
        </row>
        <row r="125">
          <cell r="J125">
            <v>0</v>
          </cell>
        </row>
        <row r="128">
          <cell r="J128">
            <v>0</v>
          </cell>
        </row>
        <row r="129">
          <cell r="J129">
            <v>0</v>
          </cell>
        </row>
        <row r="131">
          <cell r="J131">
            <v>300315</v>
          </cell>
        </row>
        <row r="132">
          <cell r="J132">
            <v>60665</v>
          </cell>
        </row>
      </sheetData>
      <sheetData sheetId="3">
        <row r="9">
          <cell r="R9">
            <v>0</v>
          </cell>
        </row>
        <row r="10">
          <cell r="R10">
            <v>20784</v>
          </cell>
        </row>
        <row r="11">
          <cell r="R11">
            <v>0</v>
          </cell>
        </row>
        <row r="12">
          <cell r="R12">
            <v>-19119</v>
          </cell>
        </row>
        <row r="14">
          <cell r="R14">
            <v>0</v>
          </cell>
        </row>
        <row r="17">
          <cell r="R17">
            <v>4409</v>
          </cell>
        </row>
        <row r="18">
          <cell r="R18">
            <v>-5</v>
          </cell>
        </row>
        <row r="19">
          <cell r="R19">
            <v>11677</v>
          </cell>
        </row>
        <row r="20">
          <cell r="R20">
            <v>-88346</v>
          </cell>
        </row>
        <row r="26">
          <cell r="R26">
            <v>5804</v>
          </cell>
        </row>
        <row r="28">
          <cell r="R28">
            <v>-16206</v>
          </cell>
        </row>
        <row r="29">
          <cell r="R29">
            <v>227</v>
          </cell>
        </row>
        <row r="31">
          <cell r="R31">
            <v>9713</v>
          </cell>
        </row>
        <row r="32">
          <cell r="R32">
            <v>50823</v>
          </cell>
        </row>
        <row r="33">
          <cell r="R33">
            <v>-28154</v>
          </cell>
        </row>
        <row r="37">
          <cell r="R37">
            <v>66902</v>
          </cell>
        </row>
        <row r="38">
          <cell r="R38">
            <v>-285399</v>
          </cell>
        </row>
        <row r="39">
          <cell r="R39">
            <v>-43415</v>
          </cell>
        </row>
        <row r="42">
          <cell r="R42">
            <v>-839714</v>
          </cell>
        </row>
        <row r="43">
          <cell r="R43">
            <v>0</v>
          </cell>
        </row>
        <row r="49">
          <cell r="R49">
            <v>565377</v>
          </cell>
        </row>
        <row r="50">
          <cell r="R50">
            <v>14240</v>
          </cell>
        </row>
        <row r="51">
          <cell r="R51">
            <v>-106505</v>
          </cell>
        </row>
        <row r="52">
          <cell r="R52">
            <v>1437</v>
          </cell>
        </row>
        <row r="53">
          <cell r="R53">
            <v>-148286</v>
          </cell>
        </row>
        <row r="54">
          <cell r="R54">
            <v>45296</v>
          </cell>
        </row>
        <row r="55">
          <cell r="R55">
            <v>-24710</v>
          </cell>
        </row>
        <row r="56">
          <cell r="R56">
            <v>617639</v>
          </cell>
        </row>
        <row r="57">
          <cell r="R57">
            <v>-96</v>
          </cell>
        </row>
        <row r="60">
          <cell r="R60">
            <v>0</v>
          </cell>
        </row>
        <row r="61">
          <cell r="R61">
            <v>155125</v>
          </cell>
        </row>
        <row r="64">
          <cell r="R64">
            <v>0</v>
          </cell>
        </row>
        <row r="65">
          <cell r="R65">
            <v>-171900</v>
          </cell>
        </row>
        <row r="66">
          <cell r="R66">
            <v>-1198</v>
          </cell>
        </row>
        <row r="67">
          <cell r="R67">
            <v>0</v>
          </cell>
        </row>
        <row r="69">
          <cell r="R69">
            <v>0</v>
          </cell>
        </row>
        <row r="71">
          <cell r="R71">
            <v>-850140</v>
          </cell>
        </row>
        <row r="82">
          <cell r="R82">
            <v>0</v>
          </cell>
        </row>
        <row r="83">
          <cell r="R83">
            <v>14541</v>
          </cell>
        </row>
        <row r="84">
          <cell r="R84">
            <v>8586</v>
          </cell>
        </row>
        <row r="86">
          <cell r="R86">
            <v>0</v>
          </cell>
        </row>
        <row r="88">
          <cell r="R88">
            <v>5250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showGridLines="0" tabSelected="1" view="pageBreakPreview" zoomScale="110" zoomScaleSheetLayoutView="110" zoomScalePageLayoutView="0" workbookViewId="0" topLeftCell="A124">
      <pane xSplit="5" topLeftCell="F1" activePane="topRight" state="frozen"/>
      <selection pane="topLeft" activeCell="AE31" sqref="AE31"/>
      <selection pane="topRight" activeCell="M124" sqref="G124:M124"/>
    </sheetView>
  </sheetViews>
  <sheetFormatPr defaultColWidth="9.140625" defaultRowHeight="21.75"/>
  <cols>
    <col min="1" max="1" width="2.00390625" style="1" customWidth="1"/>
    <col min="2" max="3" width="2.7109375" style="1" customWidth="1"/>
    <col min="4" max="4" width="39.57421875" style="1" customWidth="1"/>
    <col min="5" max="5" width="6.57421875" style="4" customWidth="1"/>
    <col min="6" max="6" width="0.9921875" style="4" customWidth="1"/>
    <col min="7" max="7" width="12.8515625" style="3" customWidth="1"/>
    <col min="8" max="8" width="0.9921875" style="2" customWidth="1"/>
    <col min="9" max="9" width="12.8515625" style="2" customWidth="1"/>
    <col min="10" max="10" width="0.9921875" style="2" customWidth="1"/>
    <col min="11" max="11" width="12.8515625" style="2" customWidth="1"/>
    <col min="12" max="12" width="0.9921875" style="2" customWidth="1"/>
    <col min="13" max="13" width="12.8515625" style="2" customWidth="1"/>
    <col min="14" max="14" width="0.85546875" style="1" customWidth="1"/>
    <col min="15" max="16384" width="9.140625" style="1" customWidth="1"/>
  </cols>
  <sheetData>
    <row r="1" spans="1:13" ht="18.7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>
      <c r="A2" s="30" t="s">
        <v>178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75"/>
      <c r="M3" s="75"/>
    </row>
    <row r="4" spans="1:13" ht="18.75">
      <c r="A4" s="4"/>
      <c r="B4" s="4"/>
      <c r="C4" s="4"/>
      <c r="D4" s="4"/>
      <c r="H4" s="3"/>
      <c r="I4" s="3"/>
      <c r="J4" s="3"/>
      <c r="K4" s="3"/>
      <c r="L4" s="74"/>
      <c r="M4" s="8" t="s">
        <v>26</v>
      </c>
    </row>
    <row r="5" spans="7:13" s="21" customFormat="1" ht="18.75">
      <c r="G5" s="26"/>
      <c r="H5" s="26" t="s">
        <v>25</v>
      </c>
      <c r="I5" s="26"/>
      <c r="J5" s="7"/>
      <c r="K5" s="26"/>
      <c r="L5" s="26" t="s">
        <v>24</v>
      </c>
      <c r="M5" s="26"/>
    </row>
    <row r="6" spans="5:13" s="5" customFormat="1" ht="18.75">
      <c r="E6" s="25" t="s">
        <v>93</v>
      </c>
      <c r="G6" s="69" t="s">
        <v>124</v>
      </c>
      <c r="H6" s="69"/>
      <c r="I6" s="69" t="s">
        <v>124</v>
      </c>
      <c r="J6" s="24"/>
      <c r="K6" s="69" t="s">
        <v>124</v>
      </c>
      <c r="L6" s="69"/>
      <c r="M6" s="69" t="s">
        <v>124</v>
      </c>
    </row>
    <row r="7" spans="1:13" ht="18.75">
      <c r="A7" s="30"/>
      <c r="E7" s="35"/>
      <c r="F7" s="35"/>
      <c r="G7" s="73" t="str">
        <f>"30 มิถุนายน 2553"</f>
        <v>30 มิถุนายน 2553</v>
      </c>
      <c r="H7" s="69"/>
      <c r="I7" s="72" t="str">
        <f>"31 ธันวาคม 2552"</f>
        <v>31 ธันวาคม 2552</v>
      </c>
      <c r="J7" s="34"/>
      <c r="K7" s="73" t="str">
        <f>"30 มิถุนายน 2553"</f>
        <v>30 มิถุนายน 2553</v>
      </c>
      <c r="L7" s="69"/>
      <c r="M7" s="72" t="str">
        <f>"31 ธันวาคม 2552"</f>
        <v>31 ธันวาคม 2552</v>
      </c>
    </row>
    <row r="8" spans="1:13" ht="18.75">
      <c r="A8" s="30"/>
      <c r="E8" s="35"/>
      <c r="F8" s="35"/>
      <c r="G8" s="69" t="s">
        <v>123</v>
      </c>
      <c r="H8" s="70"/>
      <c r="I8" s="69" t="s">
        <v>122</v>
      </c>
      <c r="J8" s="71"/>
      <c r="K8" s="69" t="s">
        <v>123</v>
      </c>
      <c r="L8" s="70"/>
      <c r="M8" s="69" t="s">
        <v>122</v>
      </c>
    </row>
    <row r="9" spans="1:13" ht="18.75">
      <c r="A9" s="30"/>
      <c r="E9" s="35"/>
      <c r="F9" s="35"/>
      <c r="G9" s="69" t="s">
        <v>121</v>
      </c>
      <c r="H9" s="70"/>
      <c r="I9" s="69"/>
      <c r="J9" s="71"/>
      <c r="K9" s="69" t="s">
        <v>121</v>
      </c>
      <c r="L9" s="70"/>
      <c r="M9" s="69"/>
    </row>
    <row r="10" spans="1:13" ht="18.75">
      <c r="A10" s="30" t="s">
        <v>177</v>
      </c>
      <c r="E10" s="35"/>
      <c r="F10" s="35"/>
      <c r="G10" s="34"/>
      <c r="I10" s="41"/>
      <c r="J10" s="34"/>
      <c r="K10" s="34"/>
      <c r="L10" s="3"/>
      <c r="M10" s="41"/>
    </row>
    <row r="11" ht="18.75">
      <c r="A11" s="13" t="s">
        <v>176</v>
      </c>
    </row>
    <row r="12" spans="1:13" s="11" customFormat="1" ht="18.75">
      <c r="A12" s="1" t="s">
        <v>175</v>
      </c>
      <c r="C12" s="1"/>
      <c r="D12" s="50"/>
      <c r="E12" s="39"/>
      <c r="F12" s="52"/>
      <c r="G12" s="14">
        <f>'[1]Conso BS'!$J$6</f>
        <v>1517938</v>
      </c>
      <c r="H12" s="14"/>
      <c r="I12" s="14">
        <v>1886442</v>
      </c>
      <c r="J12" s="14"/>
      <c r="K12" s="14">
        <f>'[1]Com BS'!$J$6</f>
        <v>844643</v>
      </c>
      <c r="L12" s="14"/>
      <c r="M12" s="14">
        <v>1132426</v>
      </c>
    </row>
    <row r="13" spans="1:13" s="11" customFormat="1" ht="18.75">
      <c r="A13" s="1" t="s">
        <v>174</v>
      </c>
      <c r="C13" s="1"/>
      <c r="D13" s="50"/>
      <c r="E13" s="79"/>
      <c r="F13" s="52"/>
      <c r="G13" s="14">
        <f>'[1]Conso BS'!$J$7</f>
        <v>2051815</v>
      </c>
      <c r="H13" s="14"/>
      <c r="I13" s="14">
        <f>1201828</f>
        <v>1201828</v>
      </c>
      <c r="J13" s="14"/>
      <c r="K13" s="14">
        <f>'[1]Com BS'!$J$7</f>
        <v>2039723</v>
      </c>
      <c r="L13" s="14"/>
      <c r="M13" s="14">
        <f>1200009</f>
        <v>1200009</v>
      </c>
    </row>
    <row r="14" spans="1:13" s="11" customFormat="1" ht="18.75">
      <c r="A14" s="1" t="s">
        <v>45</v>
      </c>
      <c r="C14" s="1"/>
      <c r="D14" s="50"/>
      <c r="E14" s="39">
        <v>2</v>
      </c>
      <c r="F14" s="52"/>
      <c r="G14" s="14"/>
      <c r="H14" s="14"/>
      <c r="I14" s="14"/>
      <c r="J14" s="14"/>
      <c r="K14" s="14"/>
      <c r="L14" s="14"/>
      <c r="M14" s="14"/>
    </row>
    <row r="15" spans="1:13" s="11" customFormat="1" ht="18.75">
      <c r="A15" s="1"/>
      <c r="B15" s="1" t="s">
        <v>140</v>
      </c>
      <c r="D15" s="50"/>
      <c r="E15" s="39">
        <v>3</v>
      </c>
      <c r="F15" s="52"/>
      <c r="G15" s="55">
        <f>'[1]Conso BS'!$J$9</f>
        <v>1649</v>
      </c>
      <c r="H15" s="14"/>
      <c r="I15" s="55">
        <v>1058</v>
      </c>
      <c r="J15" s="14"/>
      <c r="K15" s="55">
        <f>'[1]Com BS'!$J$9</f>
        <v>7182</v>
      </c>
      <c r="L15" s="14"/>
      <c r="M15" s="55">
        <v>6934</v>
      </c>
    </row>
    <row r="16" spans="1:13" s="11" customFormat="1" ht="18.75">
      <c r="A16" s="1"/>
      <c r="B16" s="1" t="s">
        <v>173</v>
      </c>
      <c r="D16" s="50"/>
      <c r="E16" s="37"/>
      <c r="F16" s="52"/>
      <c r="G16" s="53">
        <f>'[1]Conso BS'!$J$10</f>
        <v>1512180</v>
      </c>
      <c r="H16" s="14"/>
      <c r="I16" s="53">
        <v>1550407</v>
      </c>
      <c r="J16" s="14"/>
      <c r="K16" s="53">
        <f>'[1]Com BS'!$J$10</f>
        <v>569774</v>
      </c>
      <c r="L16" s="14"/>
      <c r="M16" s="53">
        <v>530507</v>
      </c>
    </row>
    <row r="17" spans="1:13" s="11" customFormat="1" ht="18.75">
      <c r="A17" s="1" t="s">
        <v>172</v>
      </c>
      <c r="C17" s="1"/>
      <c r="D17" s="50"/>
      <c r="E17" s="39"/>
      <c r="F17" s="52"/>
      <c r="G17" s="14">
        <f>SUM(G15:G16)</f>
        <v>1513829</v>
      </c>
      <c r="H17" s="14"/>
      <c r="I17" s="14">
        <f>SUM(I15:I16)</f>
        <v>1551465</v>
      </c>
      <c r="J17" s="14"/>
      <c r="K17" s="14">
        <f>SUM(K15:K16)</f>
        <v>576956</v>
      </c>
      <c r="L17" s="14"/>
      <c r="M17" s="14">
        <f>SUM(M15:M16)</f>
        <v>537441</v>
      </c>
    </row>
    <row r="18" spans="1:13" s="11" customFormat="1" ht="18.75">
      <c r="A18" s="1" t="s">
        <v>171</v>
      </c>
      <c r="C18" s="1"/>
      <c r="D18" s="50"/>
      <c r="E18" s="39">
        <v>3</v>
      </c>
      <c r="F18" s="52"/>
      <c r="G18" s="14">
        <f>'[1]Conso BS'!$J$12</f>
        <v>0</v>
      </c>
      <c r="H18" s="14"/>
      <c r="I18" s="14">
        <v>0</v>
      </c>
      <c r="J18" s="14"/>
      <c r="K18" s="14">
        <f>'[1]Com BS'!$J$12</f>
        <v>114365</v>
      </c>
      <c r="L18" s="14"/>
      <c r="M18" s="14">
        <v>209492</v>
      </c>
    </row>
    <row r="19" spans="1:13" s="11" customFormat="1" ht="18.75">
      <c r="A19" s="1" t="s">
        <v>170</v>
      </c>
      <c r="C19" s="1"/>
      <c r="D19" s="50"/>
      <c r="E19" s="39">
        <v>3</v>
      </c>
      <c r="F19" s="52"/>
      <c r="G19" s="14">
        <f>'[1]Conso BS'!$J$13+'[1]Conso BS'!$J$14</f>
        <v>15116</v>
      </c>
      <c r="H19" s="14"/>
      <c r="I19" s="14">
        <f>22283-2700</f>
        <v>19583</v>
      </c>
      <c r="J19" s="14"/>
      <c r="K19" s="14">
        <f>'[1]Com BS'!$J$13+'[1]Com BS'!$J$14</f>
        <v>37788</v>
      </c>
      <c r="L19" s="14"/>
      <c r="M19" s="14">
        <f>43081-2822</f>
        <v>40259</v>
      </c>
    </row>
    <row r="20" spans="1:13" s="11" customFormat="1" ht="18.75">
      <c r="A20" s="1" t="s">
        <v>2</v>
      </c>
      <c r="C20" s="1"/>
      <c r="D20" s="50"/>
      <c r="E20" s="39">
        <v>3</v>
      </c>
      <c r="F20" s="52"/>
      <c r="G20" s="14">
        <f>'[1]Conso BS'!$J$15</f>
        <v>6160</v>
      </c>
      <c r="H20" s="14"/>
      <c r="I20" s="14">
        <v>0</v>
      </c>
      <c r="J20" s="14"/>
      <c r="K20" s="14">
        <f>'[1]Com BS'!$J$15</f>
        <v>5250</v>
      </c>
      <c r="L20" s="14"/>
      <c r="M20" s="14">
        <v>0</v>
      </c>
    </row>
    <row r="21" spans="1:13" s="11" customFormat="1" ht="18.75">
      <c r="A21" s="1" t="s">
        <v>43</v>
      </c>
      <c r="C21" s="1"/>
      <c r="D21" s="50"/>
      <c r="E21" s="39"/>
      <c r="F21" s="52"/>
      <c r="G21" s="14">
        <f>'[1]Conso BS'!$J$16</f>
        <v>219310</v>
      </c>
      <c r="H21" s="14"/>
      <c r="I21" s="14">
        <v>255239</v>
      </c>
      <c r="J21" s="14"/>
      <c r="K21" s="14">
        <f>'[1]Com BS'!$J$16</f>
        <v>53573</v>
      </c>
      <c r="L21" s="14"/>
      <c r="M21" s="14">
        <v>62412</v>
      </c>
    </row>
    <row r="22" spans="1:13" s="11" customFormat="1" ht="18.75">
      <c r="A22" s="1" t="s">
        <v>169</v>
      </c>
      <c r="C22" s="1"/>
      <c r="D22" s="50"/>
      <c r="E22" s="39"/>
      <c r="F22" s="52"/>
      <c r="G22" s="46">
        <f>SUM('[1]Conso BS'!$J$17:$J$21)</f>
        <v>214926</v>
      </c>
      <c r="H22" s="14"/>
      <c r="I22" s="46">
        <f>165902</f>
        <v>165902</v>
      </c>
      <c r="J22" s="14"/>
      <c r="K22" s="46">
        <f>SUM('[1]Com BS'!$J$17:$J$21)</f>
        <v>79765</v>
      </c>
      <c r="L22" s="14"/>
      <c r="M22" s="46">
        <f>59688</f>
        <v>59688</v>
      </c>
    </row>
    <row r="23" spans="1:13" ht="18.75">
      <c r="A23" s="13" t="s">
        <v>168</v>
      </c>
      <c r="E23" s="37"/>
      <c r="G23" s="16">
        <f>SUM(G12:G13,G17:G22)</f>
        <v>5539094</v>
      </c>
      <c r="H23" s="9"/>
      <c r="I23" s="16">
        <f>SUM(I12:I13,I17:I22)</f>
        <v>5080459</v>
      </c>
      <c r="J23" s="9"/>
      <c r="K23" s="16">
        <f>SUM(K12:K13,K17:K22)</f>
        <v>3752063</v>
      </c>
      <c r="L23" s="9"/>
      <c r="M23" s="16">
        <f>SUM(M12:M13,M17:M22)</f>
        <v>3241727</v>
      </c>
    </row>
    <row r="24" spans="1:13" ht="18.75">
      <c r="A24" s="13" t="s">
        <v>167</v>
      </c>
      <c r="E24" s="37"/>
      <c r="G24" s="9"/>
      <c r="H24" s="9"/>
      <c r="I24" s="9"/>
      <c r="J24" s="9"/>
      <c r="K24" s="9"/>
      <c r="L24" s="9"/>
      <c r="M24" s="9"/>
    </row>
    <row r="25" spans="1:13" ht="18.75">
      <c r="A25" s="1" t="s">
        <v>166</v>
      </c>
      <c r="E25" s="37"/>
      <c r="G25" s="9">
        <f>'[1]Conso BS'!$J$24</f>
        <v>16221</v>
      </c>
      <c r="H25" s="9"/>
      <c r="I25" s="9">
        <v>15972</v>
      </c>
      <c r="J25" s="9"/>
      <c r="K25" s="14">
        <v>0</v>
      </c>
      <c r="L25" s="9"/>
      <c r="M25" s="14">
        <v>0</v>
      </c>
    </row>
    <row r="26" spans="1:13" s="11" customFormat="1" ht="18.75">
      <c r="A26" s="1" t="s">
        <v>165</v>
      </c>
      <c r="B26" s="50"/>
      <c r="C26" s="50"/>
      <c r="E26" s="39">
        <v>4</v>
      </c>
      <c r="F26" s="52"/>
      <c r="G26" s="14">
        <f>'[1]Conso BS'!$J$25</f>
        <v>0</v>
      </c>
      <c r="H26" s="14"/>
      <c r="I26" s="14">
        <v>0</v>
      </c>
      <c r="J26" s="14"/>
      <c r="K26" s="9">
        <f>'[1]Com BS'!$J$25</f>
        <v>7791833</v>
      </c>
      <c r="L26" s="14"/>
      <c r="M26" s="9">
        <v>7787327</v>
      </c>
    </row>
    <row r="27" spans="1:13" s="11" customFormat="1" ht="18.75">
      <c r="A27" s="1" t="s">
        <v>164</v>
      </c>
      <c r="B27" s="50"/>
      <c r="C27" s="50"/>
      <c r="E27" s="39">
        <v>5</v>
      </c>
      <c r="F27" s="52"/>
      <c r="G27" s="14">
        <f>'[1]Conso BS'!$J$26</f>
        <v>2119968</v>
      </c>
      <c r="H27" s="14"/>
      <c r="I27" s="9">
        <v>1932153</v>
      </c>
      <c r="J27" s="14"/>
      <c r="K27" s="9">
        <f>'[1]Com BS'!$J$26</f>
        <v>1666391</v>
      </c>
      <c r="L27" s="14"/>
      <c r="M27" s="9">
        <v>1564949</v>
      </c>
    </row>
    <row r="28" spans="1:13" s="11" customFormat="1" ht="18.75">
      <c r="A28" s="1" t="s">
        <v>163</v>
      </c>
      <c r="B28" s="50"/>
      <c r="C28" s="50"/>
      <c r="E28" s="39">
        <v>6</v>
      </c>
      <c r="F28" s="52"/>
      <c r="G28" s="9">
        <f>'[1]Conso BS'!$J$27</f>
        <v>1639978</v>
      </c>
      <c r="H28" s="14"/>
      <c r="I28" s="9">
        <f>1639479</f>
        <v>1639479</v>
      </c>
      <c r="J28" s="14"/>
      <c r="K28" s="14">
        <f>'[1]Com BS'!$J$27</f>
        <v>1639688</v>
      </c>
      <c r="L28" s="14"/>
      <c r="M28" s="14">
        <f>1639189</f>
        <v>1639189</v>
      </c>
    </row>
    <row r="29" spans="1:13" s="11" customFormat="1" ht="18.75">
      <c r="A29" s="1" t="s">
        <v>162</v>
      </c>
      <c r="B29" s="50"/>
      <c r="C29" s="50"/>
      <c r="E29" s="39">
        <v>3</v>
      </c>
      <c r="F29" s="52"/>
      <c r="G29" s="9">
        <f>'[1]Conso BS'!$J$28</f>
        <v>0</v>
      </c>
      <c r="H29" s="14"/>
      <c r="I29" s="9">
        <v>0</v>
      </c>
      <c r="J29" s="14"/>
      <c r="K29" s="14">
        <f>'[1]Com BS'!$J$28</f>
        <v>2231983</v>
      </c>
      <c r="L29" s="14"/>
      <c r="M29" s="14">
        <v>2786758</v>
      </c>
    </row>
    <row r="30" spans="1:13" s="11" customFormat="1" ht="18.75">
      <c r="A30" s="1" t="s">
        <v>161</v>
      </c>
      <c r="B30" s="50"/>
      <c r="C30" s="50"/>
      <c r="E30" s="39">
        <v>7</v>
      </c>
      <c r="F30" s="52"/>
      <c r="G30" s="9">
        <f>'[1]Conso BS'!$J$29</f>
        <v>18605474</v>
      </c>
      <c r="H30" s="14"/>
      <c r="I30" s="9">
        <v>19130028</v>
      </c>
      <c r="J30" s="14"/>
      <c r="K30" s="14">
        <f>'[1]Com BS'!$J$29</f>
        <v>4864426</v>
      </c>
      <c r="L30" s="14"/>
      <c r="M30" s="14">
        <v>5046930</v>
      </c>
    </row>
    <row r="31" spans="1:13" s="11" customFormat="1" ht="18.75">
      <c r="A31" s="1" t="s">
        <v>160</v>
      </c>
      <c r="B31" s="50"/>
      <c r="C31" s="50"/>
      <c r="E31" s="39"/>
      <c r="F31" s="52"/>
      <c r="G31" s="9">
        <f>'[1]Conso BS'!$J$30</f>
        <v>472414</v>
      </c>
      <c r="H31" s="14"/>
      <c r="I31" s="9">
        <v>472414</v>
      </c>
      <c r="J31" s="14"/>
      <c r="K31" s="14">
        <f>'[1]Com BS'!$J$30</f>
        <v>472414</v>
      </c>
      <c r="L31" s="14"/>
      <c r="M31" s="14">
        <v>472414</v>
      </c>
    </row>
    <row r="32" spans="1:13" s="11" customFormat="1" ht="18.75">
      <c r="A32" s="1" t="s">
        <v>159</v>
      </c>
      <c r="B32" s="50"/>
      <c r="C32" s="50"/>
      <c r="E32" s="39"/>
      <c r="F32" s="52"/>
      <c r="G32" s="9">
        <f>'[1]Conso BS'!$J$32</f>
        <v>174454</v>
      </c>
      <c r="H32" s="14"/>
      <c r="I32" s="9">
        <v>171163</v>
      </c>
      <c r="J32" s="14"/>
      <c r="K32" s="14">
        <f>'[1]Com BS'!$J$32</f>
        <v>80908</v>
      </c>
      <c r="L32" s="14"/>
      <c r="M32" s="14">
        <v>79723</v>
      </c>
    </row>
    <row r="33" spans="1:13" s="11" customFormat="1" ht="18.75">
      <c r="A33" s="1" t="s">
        <v>158</v>
      </c>
      <c r="B33" s="50"/>
      <c r="C33" s="50"/>
      <c r="E33" s="39"/>
      <c r="F33" s="52"/>
      <c r="G33" s="14"/>
      <c r="H33" s="14"/>
      <c r="I33" s="14"/>
      <c r="J33" s="14"/>
      <c r="K33" s="14"/>
      <c r="L33" s="14"/>
      <c r="M33" s="14"/>
    </row>
    <row r="34" spans="1:13" s="11" customFormat="1" ht="18.75">
      <c r="A34" s="1"/>
      <c r="B34" s="1" t="s">
        <v>157</v>
      </c>
      <c r="C34" s="50"/>
      <c r="E34" s="78"/>
      <c r="F34" s="52"/>
      <c r="G34" s="9">
        <f>'[1]Conso BS'!$J$31</f>
        <v>1299169</v>
      </c>
      <c r="H34" s="14"/>
      <c r="I34" s="9">
        <v>1296207</v>
      </c>
      <c r="J34" s="14"/>
      <c r="K34" s="14">
        <f>'[1]Com BS'!$J$31</f>
        <v>0</v>
      </c>
      <c r="L34" s="14"/>
      <c r="M34" s="14">
        <v>0</v>
      </c>
    </row>
    <row r="35" spans="1:13" s="11" customFormat="1" ht="18.75">
      <c r="A35" s="1"/>
      <c r="B35" s="1" t="s">
        <v>156</v>
      </c>
      <c r="C35" s="50"/>
      <c r="E35" s="39">
        <v>3</v>
      </c>
      <c r="F35" s="51"/>
      <c r="G35" s="9">
        <f>'[1]Conso BS'!$J$33</f>
        <v>530708</v>
      </c>
      <c r="H35" s="14"/>
      <c r="I35" s="9">
        <v>547735</v>
      </c>
      <c r="J35" s="14"/>
      <c r="K35" s="14">
        <f>'[1]Com BS'!$J$33</f>
        <v>61111</v>
      </c>
      <c r="L35" s="14"/>
      <c r="M35" s="14">
        <v>63218</v>
      </c>
    </row>
    <row r="36" spans="1:13" s="11" customFormat="1" ht="18.75">
      <c r="A36" s="1"/>
      <c r="B36" s="1" t="s">
        <v>155</v>
      </c>
      <c r="C36" s="50"/>
      <c r="E36" s="39">
        <v>3</v>
      </c>
      <c r="F36" s="52"/>
      <c r="G36" s="14">
        <f>SUM('[1]Conso BS'!$J$34,'[1]Conso BS'!$J$36:$J$37)</f>
        <v>69717</v>
      </c>
      <c r="H36" s="14"/>
      <c r="I36" s="14">
        <f>70399+2700</f>
        <v>73099</v>
      </c>
      <c r="J36" s="14"/>
      <c r="K36" s="14">
        <f>'[1]Com BS'!$J$34</f>
        <v>14433</v>
      </c>
      <c r="L36" s="14"/>
      <c r="M36" s="14">
        <f>11921+2822</f>
        <v>14743</v>
      </c>
    </row>
    <row r="37" spans="1:13" ht="18.75">
      <c r="A37" s="13" t="s">
        <v>154</v>
      </c>
      <c r="G37" s="77">
        <f>SUM(G25:G36)</f>
        <v>24928103</v>
      </c>
      <c r="H37" s="9"/>
      <c r="I37" s="77">
        <f>SUM(I25:I36)</f>
        <v>25278250</v>
      </c>
      <c r="J37" s="14"/>
      <c r="K37" s="77">
        <f>SUM(K25:K36)</f>
        <v>18823187</v>
      </c>
      <c r="L37" s="9"/>
      <c r="M37" s="77">
        <f>SUM(M25:M36)</f>
        <v>19455251</v>
      </c>
    </row>
    <row r="38" spans="1:13" ht="19.5" thickBot="1">
      <c r="A38" s="13" t="s">
        <v>153</v>
      </c>
      <c r="G38" s="12">
        <f>G23+G37</f>
        <v>30467197</v>
      </c>
      <c r="H38" s="9"/>
      <c r="I38" s="12">
        <f>I23+I37</f>
        <v>30358709</v>
      </c>
      <c r="J38" s="14"/>
      <c r="K38" s="12">
        <f>K23+K37</f>
        <v>22575250</v>
      </c>
      <c r="L38" s="9"/>
      <c r="M38" s="12">
        <f>M23+M37</f>
        <v>22696978</v>
      </c>
    </row>
    <row r="39" spans="7:13" ht="19.5" thickTop="1">
      <c r="G39" s="41"/>
      <c r="I39" s="41"/>
      <c r="J39" s="41"/>
      <c r="K39" s="41"/>
      <c r="M39" s="41"/>
    </row>
    <row r="40" spans="1:13" ht="18.75">
      <c r="A40" s="5" t="s">
        <v>0</v>
      </c>
      <c r="G40" s="41"/>
      <c r="I40" s="41"/>
      <c r="J40" s="41"/>
      <c r="K40" s="41"/>
      <c r="M40" s="41"/>
    </row>
    <row r="41" spans="1:13" ht="18.75">
      <c r="A41" s="5"/>
      <c r="G41" s="41"/>
      <c r="I41" s="41"/>
      <c r="J41" s="41"/>
      <c r="K41" s="41"/>
      <c r="M41" s="41"/>
    </row>
    <row r="42" spans="1:13" ht="18.75">
      <c r="A42" s="5"/>
      <c r="G42" s="41"/>
      <c r="I42" s="41"/>
      <c r="J42" s="41"/>
      <c r="K42" s="41"/>
      <c r="M42" s="41"/>
    </row>
    <row r="43" spans="1:13" ht="18.75">
      <c r="A43" s="5"/>
      <c r="G43" s="41"/>
      <c r="I43" s="41"/>
      <c r="J43" s="41"/>
      <c r="K43" s="41"/>
      <c r="M43" s="41"/>
    </row>
    <row r="44" spans="1:13" ht="18.75">
      <c r="A44" s="5"/>
      <c r="G44" s="41"/>
      <c r="I44" s="41"/>
      <c r="J44" s="41"/>
      <c r="K44" s="41"/>
      <c r="M44" s="41"/>
    </row>
    <row r="45" spans="1:13" ht="18.75">
      <c r="A45" s="5"/>
      <c r="G45" s="41"/>
      <c r="I45" s="41"/>
      <c r="J45" s="41"/>
      <c r="K45" s="41"/>
      <c r="M45" s="41"/>
    </row>
    <row r="46" spans="1:13" s="76" customFormat="1" ht="26.25">
      <c r="A46" s="108" t="s">
        <v>152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18.75">
      <c r="A47" s="30" t="s">
        <v>28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8.75">
      <c r="A48" s="30" t="s">
        <v>125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8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75"/>
      <c r="M49" s="75"/>
    </row>
    <row r="50" spans="1:13" ht="18.75">
      <c r="A50" s="4"/>
      <c r="B50" s="4"/>
      <c r="C50" s="4"/>
      <c r="D50" s="4"/>
      <c r="H50" s="3"/>
      <c r="I50" s="3"/>
      <c r="J50" s="3"/>
      <c r="K50" s="3"/>
      <c r="L50" s="74"/>
      <c r="M50" s="8" t="s">
        <v>26</v>
      </c>
    </row>
    <row r="51" spans="7:13" s="21" customFormat="1" ht="18.75">
      <c r="G51" s="26"/>
      <c r="H51" s="26" t="s">
        <v>25</v>
      </c>
      <c r="I51" s="26"/>
      <c r="J51" s="7"/>
      <c r="K51" s="26"/>
      <c r="L51" s="26" t="s">
        <v>24</v>
      </c>
      <c r="M51" s="26"/>
    </row>
    <row r="52" spans="5:13" s="5" customFormat="1" ht="18.75">
      <c r="E52" s="25" t="s">
        <v>93</v>
      </c>
      <c r="G52" s="69" t="s">
        <v>124</v>
      </c>
      <c r="H52" s="69"/>
      <c r="I52" s="69" t="s">
        <v>124</v>
      </c>
      <c r="J52" s="24"/>
      <c r="K52" s="69" t="s">
        <v>124</v>
      </c>
      <c r="L52" s="69"/>
      <c r="M52" s="69" t="s">
        <v>124</v>
      </c>
    </row>
    <row r="53" spans="5:13" s="5" customFormat="1" ht="18.75">
      <c r="E53" s="25"/>
      <c r="G53" s="73" t="str">
        <f>"30 มิถุนายน 2553"</f>
        <v>30 มิถุนายน 2553</v>
      </c>
      <c r="H53" s="69"/>
      <c r="I53" s="72" t="str">
        <f>"31 ธันวาคม 2552"</f>
        <v>31 ธันวาคม 2552</v>
      </c>
      <c r="J53" s="34"/>
      <c r="K53" s="73" t="str">
        <f>"30 มิถุนายน 2553"</f>
        <v>30 มิถุนายน 2553</v>
      </c>
      <c r="L53" s="69"/>
      <c r="M53" s="72" t="str">
        <f>"31 ธันวาคม 2552"</f>
        <v>31 ธันวาคม 2552</v>
      </c>
    </row>
    <row r="54" spans="5:13" s="5" customFormat="1" ht="18.75">
      <c r="E54" s="25"/>
      <c r="G54" s="69" t="s">
        <v>123</v>
      </c>
      <c r="H54" s="70"/>
      <c r="I54" s="69" t="s">
        <v>122</v>
      </c>
      <c r="J54" s="71"/>
      <c r="K54" s="69" t="s">
        <v>123</v>
      </c>
      <c r="L54" s="70"/>
      <c r="M54" s="69" t="s">
        <v>122</v>
      </c>
    </row>
    <row r="55" spans="5:13" s="5" customFormat="1" ht="18.75">
      <c r="E55" s="25"/>
      <c r="G55" s="69" t="s">
        <v>121</v>
      </c>
      <c r="H55" s="70"/>
      <c r="I55" s="69"/>
      <c r="J55" s="71"/>
      <c r="K55" s="69" t="s">
        <v>121</v>
      </c>
      <c r="L55" s="70"/>
      <c r="M55" s="69"/>
    </row>
    <row r="56" spans="1:13" ht="18.75">
      <c r="A56" s="30" t="s">
        <v>151</v>
      </c>
      <c r="B56" s="58"/>
      <c r="C56" s="58"/>
      <c r="E56" s="37"/>
      <c r="H56" s="74"/>
      <c r="I56" s="74"/>
      <c r="J56" s="74"/>
      <c r="K56" s="74"/>
      <c r="L56" s="74"/>
      <c r="M56" s="74"/>
    </row>
    <row r="57" spans="1:5" ht="18.75">
      <c r="A57" s="13" t="s">
        <v>150</v>
      </c>
      <c r="E57" s="37"/>
    </row>
    <row r="58" spans="1:13" s="11" customFormat="1" ht="18.75">
      <c r="A58" s="1" t="s">
        <v>149</v>
      </c>
      <c r="C58" s="50"/>
      <c r="D58" s="50"/>
      <c r="E58" s="39"/>
      <c r="F58" s="52"/>
      <c r="G58" s="14">
        <f>'[1]Conso BS'!$J$42</f>
        <v>31706</v>
      </c>
      <c r="H58" s="14"/>
      <c r="I58" s="14">
        <v>33257</v>
      </c>
      <c r="J58" s="14"/>
      <c r="K58" s="14">
        <f>'[1]Com BS'!$J$42</f>
        <v>0</v>
      </c>
      <c r="L58" s="14"/>
      <c r="M58" s="14">
        <v>0</v>
      </c>
    </row>
    <row r="59" spans="1:13" s="11" customFormat="1" ht="18.75">
      <c r="A59" s="1" t="s">
        <v>39</v>
      </c>
      <c r="C59" s="50"/>
      <c r="D59" s="50"/>
      <c r="E59" s="39"/>
      <c r="F59" s="52"/>
      <c r="G59" s="14"/>
      <c r="H59" s="14"/>
      <c r="I59" s="14"/>
      <c r="J59" s="14"/>
      <c r="K59" s="14"/>
      <c r="L59" s="14"/>
      <c r="M59" s="14"/>
    </row>
    <row r="60" spans="1:13" s="11" customFormat="1" ht="18.75">
      <c r="A60" s="1" t="s">
        <v>141</v>
      </c>
      <c r="B60" s="1" t="s">
        <v>140</v>
      </c>
      <c r="D60" s="50"/>
      <c r="E60" s="39">
        <v>3</v>
      </c>
      <c r="F60" s="52"/>
      <c r="G60" s="55">
        <f>'[1]Conso BS'!$J$46</f>
        <v>69139</v>
      </c>
      <c r="H60" s="14"/>
      <c r="I60" s="55">
        <v>57896</v>
      </c>
      <c r="J60" s="14"/>
      <c r="K60" s="55">
        <f>'[1]Com BS'!$J$46</f>
        <v>87759</v>
      </c>
      <c r="L60" s="14"/>
      <c r="M60" s="55">
        <v>88795</v>
      </c>
    </row>
    <row r="61" spans="1:13" s="11" customFormat="1" ht="18.75">
      <c r="A61" s="1"/>
      <c r="B61" s="1" t="s">
        <v>139</v>
      </c>
      <c r="D61" s="50"/>
      <c r="E61" s="39"/>
      <c r="F61" s="52"/>
      <c r="G61" s="53">
        <f>'[1]Conso BS'!$J$47</f>
        <v>885267</v>
      </c>
      <c r="H61" s="14"/>
      <c r="I61" s="53">
        <v>982307</v>
      </c>
      <c r="J61" s="14"/>
      <c r="K61" s="53">
        <f>'[1]Com BS'!$J$47</f>
        <v>259859</v>
      </c>
      <c r="L61" s="14"/>
      <c r="M61" s="53">
        <v>285716</v>
      </c>
    </row>
    <row r="62" spans="1:13" s="11" customFormat="1" ht="18.75">
      <c r="A62" s="1" t="s">
        <v>148</v>
      </c>
      <c r="C62" s="50"/>
      <c r="D62" s="50"/>
      <c r="F62" s="52"/>
      <c r="G62" s="14">
        <f>SUM(G60:G61)</f>
        <v>954406</v>
      </c>
      <c r="H62" s="14"/>
      <c r="I62" s="14">
        <f>SUM(I60:I61)</f>
        <v>1040203</v>
      </c>
      <c r="J62" s="14"/>
      <c r="K62" s="14">
        <f>SUM(K60:K61)</f>
        <v>347618</v>
      </c>
      <c r="L62" s="14"/>
      <c r="M62" s="14">
        <f>SUM(M60:M61)</f>
        <v>374511</v>
      </c>
    </row>
    <row r="63" spans="1:4" s="11" customFormat="1" ht="18.75">
      <c r="A63" s="1" t="s">
        <v>147</v>
      </c>
      <c r="C63" s="50"/>
      <c r="D63" s="50"/>
    </row>
    <row r="64" spans="1:13" s="11" customFormat="1" ht="18.75">
      <c r="A64" s="1" t="s">
        <v>146</v>
      </c>
      <c r="C64" s="50"/>
      <c r="D64" s="50"/>
      <c r="E64" s="39">
        <v>8</v>
      </c>
      <c r="F64" s="52"/>
      <c r="G64" s="14">
        <f>'[1]Conso BS'!$J$49</f>
        <v>356964</v>
      </c>
      <c r="H64" s="14"/>
      <c r="I64" s="14">
        <v>361888</v>
      </c>
      <c r="J64" s="14"/>
      <c r="K64" s="14">
        <f>'[1]Com BS'!$J$49</f>
        <v>343800</v>
      </c>
      <c r="L64" s="14"/>
      <c r="M64" s="14">
        <v>343800</v>
      </c>
    </row>
    <row r="65" spans="1:13" s="11" customFormat="1" ht="18.75">
      <c r="A65" s="1" t="s">
        <v>145</v>
      </c>
      <c r="C65" s="50"/>
      <c r="D65" s="50"/>
      <c r="E65" s="39"/>
      <c r="F65" s="52"/>
      <c r="G65" s="14"/>
      <c r="H65" s="14"/>
      <c r="I65" s="14"/>
      <c r="J65" s="14"/>
      <c r="K65" s="14"/>
      <c r="L65" s="14"/>
      <c r="M65" s="14"/>
    </row>
    <row r="66" spans="1:13" s="11" customFormat="1" ht="18.75">
      <c r="A66" s="1" t="s">
        <v>144</v>
      </c>
      <c r="C66" s="50"/>
      <c r="D66" s="50"/>
      <c r="E66" s="39">
        <v>9</v>
      </c>
      <c r="F66" s="52"/>
      <c r="G66" s="14">
        <f>'[1]Conso BS'!$J$50</f>
        <v>88836</v>
      </c>
      <c r="H66" s="14"/>
      <c r="I66" s="14">
        <v>79819</v>
      </c>
      <c r="J66" s="14"/>
      <c r="K66" s="14">
        <f>'[1]Com BS'!$J$50</f>
        <v>926</v>
      </c>
      <c r="L66" s="14"/>
      <c r="M66" s="14">
        <v>1247</v>
      </c>
    </row>
    <row r="67" spans="1:13" s="11" customFormat="1" ht="18.75">
      <c r="A67" s="1" t="s">
        <v>238</v>
      </c>
      <c r="C67" s="50"/>
      <c r="D67" s="50"/>
      <c r="E67" s="39">
        <v>11</v>
      </c>
      <c r="F67" s="52"/>
      <c r="G67" s="14">
        <v>2998904</v>
      </c>
      <c r="H67" s="14"/>
      <c r="I67" s="14">
        <v>0</v>
      </c>
      <c r="J67" s="14"/>
      <c r="K67" s="14">
        <v>2998904</v>
      </c>
      <c r="L67" s="14"/>
      <c r="M67" s="14">
        <v>0</v>
      </c>
    </row>
    <row r="68" spans="1:13" s="11" customFormat="1" ht="18.75">
      <c r="A68" s="11" t="s">
        <v>143</v>
      </c>
      <c r="C68" s="50"/>
      <c r="D68" s="50"/>
      <c r="E68" s="39">
        <v>3</v>
      </c>
      <c r="F68" s="52"/>
      <c r="G68" s="14">
        <f>'[1]Conso BS'!$J$44</f>
        <v>0</v>
      </c>
      <c r="H68" s="14"/>
      <c r="I68" s="14">
        <v>0</v>
      </c>
      <c r="J68" s="14"/>
      <c r="K68" s="14">
        <f>'[1]Com BS'!$J$44</f>
        <v>778011</v>
      </c>
      <c r="L68" s="14"/>
      <c r="M68" s="14">
        <v>622886</v>
      </c>
    </row>
    <row r="69" spans="1:13" s="11" customFormat="1" ht="18.75">
      <c r="A69" s="1" t="s">
        <v>142</v>
      </c>
      <c r="C69" s="50"/>
      <c r="D69" s="50"/>
      <c r="F69" s="52"/>
      <c r="G69" s="14">
        <f>'[1]Conso BS'!$J$51</f>
        <v>92495</v>
      </c>
      <c r="H69" s="14"/>
      <c r="I69" s="14">
        <v>82693</v>
      </c>
      <c r="J69" s="14"/>
      <c r="K69" s="9">
        <f>'[1]Com BS'!$J$51</f>
        <v>18423</v>
      </c>
      <c r="L69" s="14"/>
      <c r="M69" s="9">
        <v>9837</v>
      </c>
    </row>
    <row r="70" spans="1:13" s="11" customFormat="1" ht="18.75">
      <c r="A70" s="1" t="s">
        <v>38</v>
      </c>
      <c r="C70" s="50"/>
      <c r="D70" s="50"/>
      <c r="F70" s="52"/>
      <c r="G70" s="14"/>
      <c r="H70" s="14"/>
      <c r="I70" s="14"/>
      <c r="J70" s="14"/>
      <c r="K70" s="9"/>
      <c r="L70" s="14"/>
      <c r="M70" s="9"/>
    </row>
    <row r="71" spans="1:13" s="11" customFormat="1" ht="18.75">
      <c r="A71" s="1" t="s">
        <v>141</v>
      </c>
      <c r="B71" s="1" t="s">
        <v>140</v>
      </c>
      <c r="C71" s="50"/>
      <c r="D71" s="50"/>
      <c r="E71" s="39">
        <v>3</v>
      </c>
      <c r="F71" s="52"/>
      <c r="G71" s="55">
        <f>'[1]Conso BS'!$J$53</f>
        <v>3442</v>
      </c>
      <c r="H71" s="14"/>
      <c r="I71" s="55">
        <v>14449</v>
      </c>
      <c r="J71" s="14"/>
      <c r="K71" s="55">
        <f>'[1]Com BS'!$J$53</f>
        <v>15802</v>
      </c>
      <c r="L71" s="14"/>
      <c r="M71" s="55">
        <v>18388</v>
      </c>
    </row>
    <row r="72" spans="1:13" s="11" customFormat="1" ht="18.75">
      <c r="A72" s="1"/>
      <c r="B72" s="1" t="s">
        <v>139</v>
      </c>
      <c r="C72" s="50"/>
      <c r="D72" s="50"/>
      <c r="E72" s="39"/>
      <c r="F72" s="52"/>
      <c r="G72" s="53">
        <f>'[1]Conso BS'!$J$55</f>
        <v>257612</v>
      </c>
      <c r="H72" s="14"/>
      <c r="I72" s="53">
        <v>284683</v>
      </c>
      <c r="J72" s="14"/>
      <c r="K72" s="53">
        <f>'[1]Com BS'!$J$55</f>
        <v>77371</v>
      </c>
      <c r="L72" s="14"/>
      <c r="M72" s="53">
        <v>64942</v>
      </c>
    </row>
    <row r="73" spans="1:13" s="11" customFormat="1" ht="18.75">
      <c r="A73" s="1" t="s">
        <v>138</v>
      </c>
      <c r="C73" s="50"/>
      <c r="D73" s="50"/>
      <c r="E73" s="39"/>
      <c r="F73" s="52"/>
      <c r="G73" s="14">
        <f>SUM(G71:G72)</f>
        <v>261054</v>
      </c>
      <c r="H73" s="14"/>
      <c r="I73" s="14">
        <f>SUM(I71:I72)</f>
        <v>299132</v>
      </c>
      <c r="J73" s="14"/>
      <c r="K73" s="14">
        <f>SUM(K71:K72)</f>
        <v>93173</v>
      </c>
      <c r="L73" s="14"/>
      <c r="M73" s="14">
        <f>SUM(M71:M72)</f>
        <v>83330</v>
      </c>
    </row>
    <row r="74" spans="1:13" s="11" customFormat="1" ht="18.75">
      <c r="A74" s="1" t="s">
        <v>137</v>
      </c>
      <c r="C74" s="50"/>
      <c r="D74" s="50"/>
      <c r="E74" s="39"/>
      <c r="F74" s="52"/>
      <c r="G74" s="14">
        <f>'[1]Conso BS'!$J$56</f>
        <v>315853</v>
      </c>
      <c r="H74" s="14"/>
      <c r="I74" s="14">
        <v>236346</v>
      </c>
      <c r="J74" s="14"/>
      <c r="K74" s="14">
        <f>'[1]Com BS'!$J$56</f>
        <v>41516</v>
      </c>
      <c r="L74" s="14"/>
      <c r="M74" s="14">
        <v>24349</v>
      </c>
    </row>
    <row r="75" spans="1:13" s="11" customFormat="1" ht="18.75">
      <c r="A75" s="1" t="s">
        <v>37</v>
      </c>
      <c r="C75" s="50"/>
      <c r="D75" s="50"/>
      <c r="F75" s="52"/>
      <c r="G75" s="14">
        <f>'[1]Conso BS'!$J$57</f>
        <v>1228298</v>
      </c>
      <c r="H75" s="14"/>
      <c r="I75" s="14">
        <v>1066854</v>
      </c>
      <c r="J75" s="14"/>
      <c r="K75" s="14">
        <f>'[1]Com BS'!$J$57</f>
        <v>479737</v>
      </c>
      <c r="L75" s="14"/>
      <c r="M75" s="14">
        <v>431028</v>
      </c>
    </row>
    <row r="76" spans="1:13" s="11" customFormat="1" ht="18.75">
      <c r="A76" s="1" t="s">
        <v>36</v>
      </c>
      <c r="C76" s="50"/>
      <c r="D76" s="50"/>
      <c r="E76" s="39"/>
      <c r="F76" s="52"/>
      <c r="G76" s="46">
        <f>'[1]Conso BS'!$J$61-1</f>
        <v>241187</v>
      </c>
      <c r="H76" s="14"/>
      <c r="I76" s="46">
        <f>294614</f>
        <v>294614</v>
      </c>
      <c r="J76" s="14"/>
      <c r="K76" s="46">
        <f>'[1]Com BS'!$J$61+1</f>
        <v>82083</v>
      </c>
      <c r="L76" s="14"/>
      <c r="M76" s="46">
        <f>95696</f>
        <v>95696</v>
      </c>
    </row>
    <row r="77" spans="1:13" ht="18.75">
      <c r="A77" s="13" t="s">
        <v>136</v>
      </c>
      <c r="E77" s="37"/>
      <c r="G77" s="16">
        <f>SUM(G58:G76)-G62-G73</f>
        <v>6569703</v>
      </c>
      <c r="H77" s="9"/>
      <c r="I77" s="16">
        <f>SUM(I58:I76)-I62-I73</f>
        <v>3494806</v>
      </c>
      <c r="J77" s="14"/>
      <c r="K77" s="16">
        <f>SUM(K58:K76)-K62-K73</f>
        <v>5184191</v>
      </c>
      <c r="L77" s="14"/>
      <c r="M77" s="16">
        <f>SUM(M58:M76)-M62-M73</f>
        <v>1986684</v>
      </c>
    </row>
    <row r="78" spans="1:13" ht="18.75">
      <c r="A78" s="13" t="s">
        <v>135</v>
      </c>
      <c r="E78" s="37"/>
      <c r="G78" s="9"/>
      <c r="H78" s="9"/>
      <c r="I78" s="9"/>
      <c r="J78" s="14"/>
      <c r="K78" s="14"/>
      <c r="L78" s="14"/>
      <c r="M78" s="14"/>
    </row>
    <row r="79" spans="1:4" s="11" customFormat="1" ht="18.75">
      <c r="A79" s="11" t="s">
        <v>134</v>
      </c>
      <c r="B79" s="50"/>
      <c r="D79" s="50"/>
    </row>
    <row r="80" spans="1:13" s="11" customFormat="1" ht="18.75">
      <c r="A80" s="11" t="s">
        <v>132</v>
      </c>
      <c r="B80" s="50"/>
      <c r="D80" s="50"/>
      <c r="E80" s="39">
        <v>8</v>
      </c>
      <c r="F80" s="52"/>
      <c r="G80" s="14">
        <f>'[1]Conso BS'!$J$64</f>
        <v>2428285</v>
      </c>
      <c r="H80" s="14"/>
      <c r="I80" s="14">
        <v>2608338</v>
      </c>
      <c r="J80" s="14"/>
      <c r="K80" s="14">
        <f>'[1]Com BS'!$J$64</f>
        <v>2292000</v>
      </c>
      <c r="L80" s="14"/>
      <c r="M80" s="14">
        <v>2463900</v>
      </c>
    </row>
    <row r="81" spans="1:13" s="11" customFormat="1" ht="18.75">
      <c r="A81" s="11" t="s">
        <v>133</v>
      </c>
      <c r="B81" s="50"/>
      <c r="D81" s="50"/>
      <c r="E81" s="39"/>
      <c r="F81" s="52"/>
      <c r="G81" s="14"/>
      <c r="H81" s="14"/>
      <c r="I81" s="14"/>
      <c r="J81" s="14"/>
      <c r="K81" s="14"/>
      <c r="L81" s="14"/>
      <c r="M81" s="14"/>
    </row>
    <row r="82" spans="1:13" s="11" customFormat="1" ht="18.75">
      <c r="A82" s="11" t="s">
        <v>132</v>
      </c>
      <c r="B82" s="50"/>
      <c r="D82" s="50"/>
      <c r="E82" s="39">
        <v>9</v>
      </c>
      <c r="F82" s="52"/>
      <c r="G82" s="14">
        <f>'[1]Conso BS'!$J$66</f>
        <v>93785</v>
      </c>
      <c r="H82" s="14"/>
      <c r="I82" s="14">
        <v>94271</v>
      </c>
      <c r="J82" s="14"/>
      <c r="K82" s="14">
        <f>'[1]Com BS'!$J$66</f>
        <v>549</v>
      </c>
      <c r="L82" s="14"/>
      <c r="M82" s="14">
        <v>1365</v>
      </c>
    </row>
    <row r="83" spans="1:13" s="11" customFormat="1" ht="18.75">
      <c r="A83" s="1" t="s">
        <v>131</v>
      </c>
      <c r="B83" s="50"/>
      <c r="D83" s="50"/>
      <c r="E83" s="39">
        <v>10</v>
      </c>
      <c r="F83" s="52"/>
      <c r="G83" s="14">
        <f>'[1]Conso BS'!$J$67</f>
        <v>1138000</v>
      </c>
      <c r="H83" s="14"/>
      <c r="I83" s="14">
        <v>1118425</v>
      </c>
      <c r="J83" s="14"/>
      <c r="K83" s="14">
        <f>'[1]Com BS'!$J$67</f>
        <v>1138000</v>
      </c>
      <c r="L83" s="14"/>
      <c r="M83" s="14">
        <v>1118425</v>
      </c>
    </row>
    <row r="84" spans="1:13" s="11" customFormat="1" ht="18.75">
      <c r="A84" s="1" t="s">
        <v>239</v>
      </c>
      <c r="B84" s="50"/>
      <c r="D84" s="50"/>
      <c r="E84" s="39">
        <v>11</v>
      </c>
      <c r="F84" s="52"/>
      <c r="G84" s="14">
        <v>4962543</v>
      </c>
      <c r="H84" s="14"/>
      <c r="I84" s="14">
        <v>7959773</v>
      </c>
      <c r="J84" s="14"/>
      <c r="K84" s="14">
        <v>4962543</v>
      </c>
      <c r="L84" s="14"/>
      <c r="M84" s="14">
        <v>7959773</v>
      </c>
    </row>
    <row r="85" spans="1:13" s="11" customFormat="1" ht="18.75">
      <c r="A85" s="1" t="s">
        <v>129</v>
      </c>
      <c r="B85" s="50"/>
      <c r="D85" s="50"/>
      <c r="E85" s="39"/>
      <c r="F85" s="52"/>
      <c r="G85" s="14">
        <f>'[1]Conso BS'!$J$69</f>
        <v>165231</v>
      </c>
      <c r="H85" s="14"/>
      <c r="I85" s="14">
        <v>184350</v>
      </c>
      <c r="J85" s="14"/>
      <c r="K85" s="14">
        <f>'[1]Com BS'!$J$69</f>
        <v>165231</v>
      </c>
      <c r="L85" s="14"/>
      <c r="M85" s="14">
        <v>184350</v>
      </c>
    </row>
    <row r="86" spans="1:13" s="11" customFormat="1" ht="18.75">
      <c r="A86" s="1" t="s">
        <v>35</v>
      </c>
      <c r="B86" s="50"/>
      <c r="D86" s="50"/>
      <c r="E86" s="39">
        <v>3</v>
      </c>
      <c r="F86" s="52"/>
      <c r="G86" s="46">
        <f>'[1]Conso BS'!$J$70</f>
        <v>151192</v>
      </c>
      <c r="H86" s="14"/>
      <c r="I86" s="46">
        <v>151624</v>
      </c>
      <c r="J86" s="14"/>
      <c r="K86" s="46">
        <f>'[1]Com BS'!$J$70</f>
        <v>82773</v>
      </c>
      <c r="L86" s="14"/>
      <c r="M86" s="46">
        <v>73433</v>
      </c>
    </row>
    <row r="87" spans="1:13" ht="18.75">
      <c r="A87" s="13" t="s">
        <v>128</v>
      </c>
      <c r="B87" s="13"/>
      <c r="E87" s="37"/>
      <c r="G87" s="16">
        <f>SUM(G80:G86)</f>
        <v>8939036</v>
      </c>
      <c r="H87" s="9"/>
      <c r="I87" s="16">
        <f>SUM(I80:I86)</f>
        <v>12116781</v>
      </c>
      <c r="J87" s="14"/>
      <c r="K87" s="16">
        <f>SUM(K80:K86)</f>
        <v>8641096</v>
      </c>
      <c r="L87" s="9"/>
      <c r="M87" s="16">
        <f>SUM(M80:M86)</f>
        <v>11801246</v>
      </c>
    </row>
    <row r="88" spans="1:13" ht="18.75">
      <c r="A88" s="13" t="s">
        <v>127</v>
      </c>
      <c r="B88" s="13"/>
      <c r="E88" s="37"/>
      <c r="G88" s="16">
        <f>SUM(G77+G87)</f>
        <v>15508739</v>
      </c>
      <c r="H88" s="9"/>
      <c r="I88" s="16">
        <f>SUM(I77+I87)</f>
        <v>15611587</v>
      </c>
      <c r="J88" s="14"/>
      <c r="K88" s="16">
        <f>SUM(K77+K87)</f>
        <v>13825287</v>
      </c>
      <c r="L88" s="9"/>
      <c r="M88" s="16">
        <f>SUM(M77+M87)</f>
        <v>13787930</v>
      </c>
    </row>
    <row r="89" spans="5:13" ht="18.75">
      <c r="E89" s="37"/>
      <c r="G89" s="41"/>
      <c r="I89" s="41"/>
      <c r="J89" s="41"/>
      <c r="K89" s="41"/>
      <c r="M89" s="41"/>
    </row>
    <row r="90" spans="1:13" ht="18.75">
      <c r="A90" s="5" t="s">
        <v>0</v>
      </c>
      <c r="E90" s="37"/>
      <c r="I90" s="41"/>
      <c r="J90" s="41"/>
      <c r="M90" s="41"/>
    </row>
    <row r="91" spans="1:13" ht="18.75">
      <c r="A91" s="5"/>
      <c r="E91" s="37"/>
      <c r="I91" s="41"/>
      <c r="J91" s="41"/>
      <c r="M91" s="41"/>
    </row>
    <row r="92" spans="1:13" s="76" customFormat="1" ht="26.25">
      <c r="A92" s="108" t="s">
        <v>126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</row>
    <row r="93" spans="1:13" ht="18.75">
      <c r="A93" s="30" t="s">
        <v>28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8.75">
      <c r="A94" s="30" t="s">
        <v>125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8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75"/>
      <c r="M95" s="75"/>
    </row>
    <row r="96" spans="1:13" ht="18.75">
      <c r="A96" s="4"/>
      <c r="B96" s="4"/>
      <c r="C96" s="4"/>
      <c r="D96" s="4"/>
      <c r="H96" s="3"/>
      <c r="I96" s="3"/>
      <c r="J96" s="3"/>
      <c r="K96" s="3"/>
      <c r="L96" s="74"/>
      <c r="M96" s="8" t="s">
        <v>26</v>
      </c>
    </row>
    <row r="97" spans="7:13" s="21" customFormat="1" ht="18.75">
      <c r="G97" s="26"/>
      <c r="H97" s="26" t="s">
        <v>25</v>
      </c>
      <c r="I97" s="26"/>
      <c r="J97" s="7"/>
      <c r="K97" s="26"/>
      <c r="L97" s="26" t="s">
        <v>24</v>
      </c>
      <c r="M97" s="26"/>
    </row>
    <row r="98" spans="5:13" s="5" customFormat="1" ht="18.75">
      <c r="E98" s="25" t="s">
        <v>93</v>
      </c>
      <c r="G98" s="69" t="s">
        <v>124</v>
      </c>
      <c r="H98" s="69"/>
      <c r="I98" s="69" t="s">
        <v>124</v>
      </c>
      <c r="J98" s="24"/>
      <c r="K98" s="69" t="s">
        <v>124</v>
      </c>
      <c r="L98" s="69"/>
      <c r="M98" s="69" t="s">
        <v>124</v>
      </c>
    </row>
    <row r="99" spans="5:13" s="5" customFormat="1" ht="18.75">
      <c r="E99" s="25"/>
      <c r="G99" s="73" t="str">
        <f>"30 มิถุนายน 2553"</f>
        <v>30 มิถุนายน 2553</v>
      </c>
      <c r="H99" s="69"/>
      <c r="I99" s="72" t="str">
        <f>"31 ธันวาคม 2552"</f>
        <v>31 ธันวาคม 2552</v>
      </c>
      <c r="J99" s="34"/>
      <c r="K99" s="73" t="str">
        <f>"30 มิถุนายน 2553"</f>
        <v>30 มิถุนายน 2553</v>
      </c>
      <c r="L99" s="69"/>
      <c r="M99" s="72" t="str">
        <f>"31 ธันวาคม 2552"</f>
        <v>31 ธันวาคม 2552</v>
      </c>
    </row>
    <row r="100" spans="5:13" s="5" customFormat="1" ht="18.75">
      <c r="E100" s="25"/>
      <c r="G100" s="69" t="s">
        <v>123</v>
      </c>
      <c r="H100" s="70"/>
      <c r="I100" s="69" t="s">
        <v>122</v>
      </c>
      <c r="J100" s="71"/>
      <c r="K100" s="69" t="s">
        <v>123</v>
      </c>
      <c r="L100" s="70"/>
      <c r="M100" s="69" t="s">
        <v>122</v>
      </c>
    </row>
    <row r="101" spans="5:13" s="5" customFormat="1" ht="18.75">
      <c r="E101" s="25"/>
      <c r="G101" s="69" t="s">
        <v>121</v>
      </c>
      <c r="H101" s="70"/>
      <c r="I101" s="69"/>
      <c r="J101" s="71"/>
      <c r="K101" s="69" t="s">
        <v>121</v>
      </c>
      <c r="L101" s="70"/>
      <c r="M101" s="69"/>
    </row>
    <row r="102" spans="1:13" s="5" customFormat="1" ht="18.75">
      <c r="A102" s="30" t="s">
        <v>120</v>
      </c>
      <c r="E102" s="25"/>
      <c r="G102" s="23"/>
      <c r="H102" s="23"/>
      <c r="I102" s="23"/>
      <c r="J102" s="24"/>
      <c r="K102" s="23"/>
      <c r="L102" s="23"/>
      <c r="M102" s="23"/>
    </row>
    <row r="103" spans="1:13" ht="18.75">
      <c r="A103" s="13" t="s">
        <v>119</v>
      </c>
      <c r="I103" s="41"/>
      <c r="J103" s="41"/>
      <c r="K103" s="41"/>
      <c r="L103" s="41"/>
      <c r="M103" s="41"/>
    </row>
    <row r="104" spans="1:13" ht="18.75">
      <c r="A104" s="1" t="s">
        <v>118</v>
      </c>
      <c r="I104" s="41"/>
      <c r="J104" s="41"/>
      <c r="K104" s="41"/>
      <c r="L104" s="41"/>
      <c r="M104" s="41"/>
    </row>
    <row r="105" spans="1:13" s="62" customFormat="1" ht="18.75">
      <c r="A105" s="62" t="s">
        <v>117</v>
      </c>
      <c r="B105" s="67"/>
      <c r="C105" s="67"/>
      <c r="F105" s="65"/>
      <c r="G105" s="68"/>
      <c r="H105" s="68"/>
      <c r="I105" s="68"/>
      <c r="J105" s="68"/>
      <c r="K105" s="68"/>
      <c r="L105" s="68"/>
      <c r="M105" s="68"/>
    </row>
    <row r="106" spans="2:13" s="62" customFormat="1" ht="19.5" thickBot="1">
      <c r="B106" s="62" t="s">
        <v>116</v>
      </c>
      <c r="C106" s="67"/>
      <c r="E106" s="37"/>
      <c r="F106" s="65"/>
      <c r="G106" s="38">
        <v>1312264</v>
      </c>
      <c r="H106" s="63"/>
      <c r="I106" s="38">
        <v>1312264</v>
      </c>
      <c r="J106" s="14"/>
      <c r="K106" s="38">
        <v>1312264</v>
      </c>
      <c r="L106" s="14"/>
      <c r="M106" s="38">
        <v>1312264</v>
      </c>
    </row>
    <row r="107" spans="1:13" s="62" customFormat="1" ht="19.5" thickTop="1">
      <c r="A107" s="62" t="s">
        <v>115</v>
      </c>
      <c r="B107" s="67"/>
      <c r="C107" s="67"/>
      <c r="E107" s="66"/>
      <c r="F107" s="65"/>
      <c r="G107" s="63"/>
      <c r="H107" s="63"/>
      <c r="I107" s="63"/>
      <c r="J107" s="14"/>
      <c r="K107" s="14"/>
      <c r="L107" s="14"/>
      <c r="M107" s="14"/>
    </row>
    <row r="108" spans="2:13" s="62" customFormat="1" ht="18.75">
      <c r="B108" s="62" t="s">
        <v>114</v>
      </c>
      <c r="C108" s="67"/>
      <c r="E108" s="66"/>
      <c r="F108" s="65"/>
      <c r="G108" s="14">
        <f>'CE'!D21</f>
        <v>1214499</v>
      </c>
      <c r="H108" s="63"/>
      <c r="I108" s="14">
        <v>1214499</v>
      </c>
      <c r="J108" s="14"/>
      <c r="K108" s="14">
        <f>'CE'!L54</f>
        <v>1214499</v>
      </c>
      <c r="L108" s="14"/>
      <c r="M108" s="14">
        <v>1214499</v>
      </c>
    </row>
    <row r="109" spans="1:13" s="11" customFormat="1" ht="18.75">
      <c r="A109" s="1" t="s">
        <v>113</v>
      </c>
      <c r="B109" s="61"/>
      <c r="C109" s="61"/>
      <c r="E109" s="60"/>
      <c r="F109" s="52"/>
      <c r="G109" s="14"/>
      <c r="H109" s="14"/>
      <c r="I109" s="14"/>
      <c r="J109" s="14"/>
      <c r="K109" s="14"/>
      <c r="L109" s="14"/>
      <c r="M109" s="14"/>
    </row>
    <row r="110" spans="2:13" s="11" customFormat="1" ht="18.75">
      <c r="B110" s="1" t="s">
        <v>112</v>
      </c>
      <c r="C110" s="61"/>
      <c r="E110" s="60"/>
      <c r="F110" s="52"/>
      <c r="G110" s="14">
        <f>'CE'!F21</f>
        <v>5855970</v>
      </c>
      <c r="H110" s="14"/>
      <c r="I110" s="14">
        <v>5855970</v>
      </c>
      <c r="J110" s="14"/>
      <c r="K110" s="14">
        <f>'CE'!N54</f>
        <v>5793046</v>
      </c>
      <c r="L110" s="14"/>
      <c r="M110" s="14">
        <v>5793046</v>
      </c>
    </row>
    <row r="111" spans="1:13" s="11" customFormat="1" ht="18.75">
      <c r="A111" s="62"/>
      <c r="B111" s="62" t="s">
        <v>111</v>
      </c>
      <c r="C111" s="61"/>
      <c r="E111" s="60"/>
      <c r="F111" s="52"/>
      <c r="G111" s="14">
        <f>'CE'!H21</f>
        <v>305000</v>
      </c>
      <c r="H111" s="14"/>
      <c r="I111" s="14">
        <v>305000</v>
      </c>
      <c r="J111" s="14"/>
      <c r="K111" s="14">
        <v>0</v>
      </c>
      <c r="L111" s="14"/>
      <c r="M111" s="14">
        <v>0</v>
      </c>
    </row>
    <row r="112" spans="1:13" s="11" customFormat="1" ht="18.75">
      <c r="A112" s="62" t="s">
        <v>110</v>
      </c>
      <c r="B112" s="62"/>
      <c r="C112" s="61"/>
      <c r="E112" s="60"/>
      <c r="F112" s="52"/>
      <c r="G112" s="14"/>
      <c r="H112" s="14"/>
      <c r="I112" s="14"/>
      <c r="J112" s="14"/>
      <c r="K112" s="14"/>
      <c r="L112" s="14"/>
      <c r="M112" s="14"/>
    </row>
    <row r="113" spans="2:13" s="11" customFormat="1" ht="18.75">
      <c r="B113" s="1" t="s">
        <v>109</v>
      </c>
      <c r="C113" s="61"/>
      <c r="E113" s="60">
        <v>6</v>
      </c>
      <c r="F113" s="52"/>
      <c r="G113" s="14">
        <f>'CE'!J21</f>
        <v>-10745</v>
      </c>
      <c r="H113" s="14"/>
      <c r="I113" s="14">
        <v>-10687</v>
      </c>
      <c r="J113" s="14"/>
      <c r="K113" s="14">
        <f>'CE'!P54</f>
        <v>-280</v>
      </c>
      <c r="L113" s="14"/>
      <c r="M113" s="14">
        <v>-222</v>
      </c>
    </row>
    <row r="114" spans="2:13" s="11" customFormat="1" ht="18.75">
      <c r="B114" s="1" t="s">
        <v>108</v>
      </c>
      <c r="C114" s="61"/>
      <c r="E114" s="64"/>
      <c r="F114" s="52"/>
      <c r="G114" s="9">
        <f>'CE'!L21</f>
        <v>1980927</v>
      </c>
      <c r="H114" s="14"/>
      <c r="I114" s="9">
        <v>1980927</v>
      </c>
      <c r="J114" s="14"/>
      <c r="K114" s="9">
        <f>'CE'!R54</f>
        <v>728482</v>
      </c>
      <c r="L114" s="14"/>
      <c r="M114" s="9">
        <v>728482</v>
      </c>
    </row>
    <row r="115" spans="1:13" s="19" customFormat="1" ht="18.75">
      <c r="A115" s="19" t="s">
        <v>107</v>
      </c>
      <c r="G115" s="63">
        <f>'CE'!N21</f>
        <v>-62175</v>
      </c>
      <c r="H115" s="63"/>
      <c r="I115" s="63">
        <v>-44144</v>
      </c>
      <c r="J115" s="63"/>
      <c r="K115" s="14">
        <v>0</v>
      </c>
      <c r="L115" s="63"/>
      <c r="M115" s="63">
        <v>0</v>
      </c>
    </row>
    <row r="116" spans="1:13" s="11" customFormat="1" ht="18.75">
      <c r="A116" s="62" t="s">
        <v>106</v>
      </c>
      <c r="B116" s="62"/>
      <c r="C116" s="61"/>
      <c r="E116" s="60">
        <v>10</v>
      </c>
      <c r="F116" s="52"/>
      <c r="G116" s="14">
        <f>'CE'!P21</f>
        <v>10921</v>
      </c>
      <c r="H116" s="14"/>
      <c r="I116" s="14">
        <v>10921</v>
      </c>
      <c r="J116" s="14"/>
      <c r="K116" s="14">
        <f>'CE'!T54</f>
        <v>10921</v>
      </c>
      <c r="L116" s="14"/>
      <c r="M116" s="14">
        <v>10921</v>
      </c>
    </row>
    <row r="117" spans="1:13" s="11" customFormat="1" ht="18.75">
      <c r="A117" s="1" t="s">
        <v>105</v>
      </c>
      <c r="B117" s="1"/>
      <c r="C117" s="61"/>
      <c r="E117" s="60"/>
      <c r="F117" s="52"/>
      <c r="G117" s="9"/>
      <c r="H117" s="14"/>
      <c r="I117" s="9"/>
      <c r="J117" s="14"/>
      <c r="K117" s="9"/>
      <c r="L117" s="14"/>
      <c r="M117" s="9"/>
    </row>
    <row r="118" spans="2:13" s="11" customFormat="1" ht="18.75">
      <c r="B118" s="1" t="s">
        <v>104</v>
      </c>
      <c r="C118" s="1"/>
      <c r="E118" s="60"/>
      <c r="F118" s="52"/>
      <c r="G118" s="14">
        <f>'CE'!R21</f>
        <v>131226</v>
      </c>
      <c r="H118" s="14"/>
      <c r="I118" s="14">
        <v>131226</v>
      </c>
      <c r="J118" s="14"/>
      <c r="K118" s="14">
        <f>'CE'!V54</f>
        <v>131226</v>
      </c>
      <c r="L118" s="14"/>
      <c r="M118" s="14">
        <v>131226</v>
      </c>
    </row>
    <row r="119" spans="2:13" s="11" customFormat="1" ht="18.75">
      <c r="B119" s="1" t="s">
        <v>103</v>
      </c>
      <c r="G119" s="46">
        <f>'CE'!T21</f>
        <v>4926792</v>
      </c>
      <c r="H119" s="14"/>
      <c r="I119" s="46">
        <v>4706958</v>
      </c>
      <c r="J119" s="14"/>
      <c r="K119" s="46">
        <f>'CE'!X54</f>
        <v>872069</v>
      </c>
      <c r="L119" s="14"/>
      <c r="M119" s="46">
        <v>1031096</v>
      </c>
    </row>
    <row r="120" spans="1:13" ht="18.75">
      <c r="A120" s="1" t="s">
        <v>102</v>
      </c>
      <c r="G120" s="9">
        <f>SUM(G108:G119)</f>
        <v>14352415</v>
      </c>
      <c r="H120" s="9"/>
      <c r="I120" s="9">
        <v>14150670</v>
      </c>
      <c r="J120" s="9"/>
      <c r="K120" s="9">
        <f>SUM(K108:K119)</f>
        <v>8749963</v>
      </c>
      <c r="L120" s="9"/>
      <c r="M120" s="9">
        <v>8909048</v>
      </c>
    </row>
    <row r="121" spans="1:14" ht="18.75">
      <c r="A121" s="1" t="s">
        <v>101</v>
      </c>
      <c r="G121" s="46">
        <f>'CE'!X21</f>
        <v>606043</v>
      </c>
      <c r="H121" s="9"/>
      <c r="I121" s="46">
        <v>596452</v>
      </c>
      <c r="J121" s="9"/>
      <c r="K121" s="46">
        <v>0</v>
      </c>
      <c r="L121" s="9"/>
      <c r="M121" s="46" t="s">
        <v>100</v>
      </c>
      <c r="N121" s="40"/>
    </row>
    <row r="122" spans="1:13" ht="18.75">
      <c r="A122" s="13" t="s">
        <v>99</v>
      </c>
      <c r="B122" s="13"/>
      <c r="G122" s="9">
        <f>SUM(G120:G121)</f>
        <v>14958458</v>
      </c>
      <c r="H122" s="9"/>
      <c r="I122" s="9">
        <f>SUM(I120:I121)</f>
        <v>14747122</v>
      </c>
      <c r="J122" s="9"/>
      <c r="K122" s="9">
        <f>SUM(K120:K121)</f>
        <v>8749963</v>
      </c>
      <c r="L122" s="9"/>
      <c r="M122" s="9">
        <f>SUM(M120:M121)</f>
        <v>8909048</v>
      </c>
    </row>
    <row r="123" spans="1:13" ht="19.5" thickBot="1">
      <c r="A123" s="13" t="s">
        <v>98</v>
      </c>
      <c r="G123" s="12">
        <f>SUM(G122+G88)</f>
        <v>30467197</v>
      </c>
      <c r="H123" s="9"/>
      <c r="I123" s="12">
        <f>SUM(I122+I88)</f>
        <v>30358709</v>
      </c>
      <c r="J123" s="14"/>
      <c r="K123" s="12">
        <f>SUM(K122+K88)</f>
        <v>22575250</v>
      </c>
      <c r="L123" s="9"/>
      <c r="M123" s="12">
        <f>SUM(M122+M88)</f>
        <v>22696978</v>
      </c>
    </row>
    <row r="124" spans="7:13" ht="19.5" thickTop="1">
      <c r="G124" s="14"/>
      <c r="H124" s="9"/>
      <c r="I124" s="14"/>
      <c r="J124" s="14"/>
      <c r="K124" s="14"/>
      <c r="L124" s="9"/>
      <c r="M124" s="14"/>
    </row>
    <row r="125" spans="1:13" ht="18.75">
      <c r="A125" s="5" t="s">
        <v>0</v>
      </c>
      <c r="B125" s="59"/>
      <c r="C125" s="59"/>
      <c r="D125" s="7"/>
      <c r="G125" s="41"/>
      <c r="I125" s="41"/>
      <c r="J125" s="41"/>
      <c r="K125" s="41"/>
      <c r="M125" s="41"/>
    </row>
    <row r="126" spans="1:13" ht="18.75">
      <c r="A126" s="59"/>
      <c r="B126" s="59"/>
      <c r="C126" s="59"/>
      <c r="D126" s="7"/>
      <c r="G126" s="41"/>
      <c r="I126" s="41"/>
      <c r="J126" s="41"/>
      <c r="K126" s="41"/>
      <c r="M126" s="41"/>
    </row>
    <row r="127" spans="1:13" ht="18.75">
      <c r="A127" s="57"/>
      <c r="B127" s="57"/>
      <c r="C127" s="57"/>
      <c r="D127" s="57"/>
      <c r="G127" s="41"/>
      <c r="I127" s="41"/>
      <c r="J127" s="41"/>
      <c r="K127" s="41"/>
      <c r="M127" s="41"/>
    </row>
    <row r="128" spans="1:13" ht="18.75">
      <c r="A128" s="59"/>
      <c r="B128" s="59"/>
      <c r="C128" s="59"/>
      <c r="D128" s="7"/>
      <c r="G128" s="41"/>
      <c r="I128" s="41"/>
      <c r="J128" s="41"/>
      <c r="K128" s="41"/>
      <c r="M128" s="41"/>
    </row>
    <row r="129" spans="1:13" ht="18.75">
      <c r="A129" s="59"/>
      <c r="C129" s="59"/>
      <c r="D129" s="7"/>
      <c r="E129" s="58" t="s">
        <v>97</v>
      </c>
      <c r="G129" s="41"/>
      <c r="I129" s="41"/>
      <c r="J129" s="41"/>
      <c r="K129" s="41"/>
      <c r="M129" s="41"/>
    </row>
    <row r="130" spans="1:13" ht="18.75">
      <c r="A130" s="57"/>
      <c r="B130" s="57"/>
      <c r="C130" s="57"/>
      <c r="D130" s="57"/>
      <c r="G130" s="41"/>
      <c r="I130" s="41"/>
      <c r="J130" s="41"/>
      <c r="K130" s="41"/>
      <c r="M130" s="41"/>
    </row>
    <row r="131" spans="7:13" ht="18.75">
      <c r="G131" s="41"/>
      <c r="I131" s="41"/>
      <c r="J131" s="41"/>
      <c r="K131" s="41"/>
      <c r="M131" s="41"/>
    </row>
    <row r="132" spans="7:13" ht="18.75">
      <c r="G132" s="41"/>
      <c r="I132" s="41"/>
      <c r="J132" s="41"/>
      <c r="K132" s="41"/>
      <c r="M132" s="41"/>
    </row>
    <row r="133" spans="7:13" ht="18.75">
      <c r="G133" s="41"/>
      <c r="I133" s="41"/>
      <c r="J133" s="41"/>
      <c r="K133" s="41"/>
      <c r="M133" s="41"/>
    </row>
    <row r="134" spans="7:13" ht="18.75">
      <c r="G134" s="41"/>
      <c r="I134" s="41"/>
      <c r="J134" s="41"/>
      <c r="K134" s="41"/>
      <c r="M134" s="41"/>
    </row>
    <row r="135" spans="7:13" ht="18.75">
      <c r="G135" s="41"/>
      <c r="I135" s="41"/>
      <c r="J135" s="41"/>
      <c r="K135" s="41"/>
      <c r="M135" s="41"/>
    </row>
    <row r="136" spans="7:13" ht="18.75">
      <c r="G136" s="41"/>
      <c r="I136" s="41"/>
      <c r="J136" s="41"/>
      <c r="K136" s="41"/>
      <c r="M136" s="41"/>
    </row>
    <row r="137" spans="7:13" ht="18.75">
      <c r="G137" s="41"/>
      <c r="I137" s="41"/>
      <c r="J137" s="41"/>
      <c r="K137" s="41"/>
      <c r="M137" s="41"/>
    </row>
    <row r="138" spans="1:13" ht="26.25">
      <c r="A138" s="108" t="s">
        <v>96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1:13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7" t="s">
        <v>29</v>
      </c>
    </row>
    <row r="140" spans="1:13" ht="18.75">
      <c r="A140" s="30" t="s">
        <v>28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ht="18.75">
      <c r="A141" s="30" t="s">
        <v>95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8.75">
      <c r="A142" s="107" t="s">
        <v>220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3:13" ht="18.75">
      <c r="C143" s="28"/>
      <c r="D143" s="28"/>
      <c r="E143" s="28"/>
      <c r="F143" s="29"/>
      <c r="G143" s="28"/>
      <c r="H143" s="28"/>
      <c r="I143" s="28"/>
      <c r="J143" s="28"/>
      <c r="M143" s="27" t="s">
        <v>94</v>
      </c>
    </row>
    <row r="144" spans="7:14" s="21" customFormat="1" ht="18.75">
      <c r="G144" s="26"/>
      <c r="H144" s="26" t="s">
        <v>25</v>
      </c>
      <c r="I144" s="26"/>
      <c r="J144" s="7"/>
      <c r="K144" s="26"/>
      <c r="L144" s="26" t="s">
        <v>24</v>
      </c>
      <c r="M144" s="26"/>
      <c r="N144" s="1"/>
    </row>
    <row r="145" spans="5:14" s="5" customFormat="1" ht="18.75">
      <c r="E145" s="25" t="s">
        <v>93</v>
      </c>
      <c r="G145" s="22">
        <v>2553</v>
      </c>
      <c r="H145" s="23"/>
      <c r="I145" s="22">
        <v>2552</v>
      </c>
      <c r="J145" s="24"/>
      <c r="K145" s="22">
        <v>2553</v>
      </c>
      <c r="L145" s="23"/>
      <c r="M145" s="22">
        <v>2552</v>
      </c>
      <c r="N145" s="1"/>
    </row>
    <row r="146" spans="1:9" ht="18.75">
      <c r="A146" s="13" t="s">
        <v>92</v>
      </c>
      <c r="I146" s="3"/>
    </row>
    <row r="147" spans="1:14" s="11" customFormat="1" ht="18.75">
      <c r="A147" s="1" t="s">
        <v>91</v>
      </c>
      <c r="B147" s="50"/>
      <c r="C147" s="50"/>
      <c r="E147" s="39">
        <v>3</v>
      </c>
      <c r="F147" s="52"/>
      <c r="G147" s="14">
        <v>5238088</v>
      </c>
      <c r="H147" s="14"/>
      <c r="I147" s="14">
        <v>5051677</v>
      </c>
      <c r="J147" s="14"/>
      <c r="K147" s="14">
        <f>'[1]Com BS'!$J$102-1855165</f>
        <v>1631643</v>
      </c>
      <c r="L147" s="14"/>
      <c r="M147" s="14">
        <v>1644726</v>
      </c>
      <c r="N147" s="21"/>
    </row>
    <row r="148" spans="1:14" s="11" customFormat="1" ht="18.75">
      <c r="A148" s="1" t="s">
        <v>90</v>
      </c>
      <c r="B148" s="56"/>
      <c r="C148" s="56"/>
      <c r="E148" s="39">
        <v>3</v>
      </c>
      <c r="F148" s="52"/>
      <c r="G148" s="14"/>
      <c r="H148" s="14"/>
      <c r="I148" s="14"/>
      <c r="J148" s="14"/>
      <c r="K148" s="14"/>
      <c r="L148" s="14"/>
      <c r="M148" s="14"/>
      <c r="N148" s="5"/>
    </row>
    <row r="149" spans="2:14" s="11" customFormat="1" ht="18.75">
      <c r="B149" s="1" t="s">
        <v>235</v>
      </c>
      <c r="C149" s="50"/>
      <c r="E149" s="39"/>
      <c r="F149" s="52"/>
      <c r="G149" s="55">
        <f>'[1]Conso BS'!$J$104-38071</f>
        <v>36301</v>
      </c>
      <c r="H149" s="14"/>
      <c r="I149" s="55">
        <v>38234</v>
      </c>
      <c r="J149" s="14"/>
      <c r="K149" s="55">
        <f>'[1]Com BS'!$J$104-8578</f>
        <v>8766</v>
      </c>
      <c r="L149" s="14"/>
      <c r="M149" s="55">
        <v>9411</v>
      </c>
      <c r="N149" s="1"/>
    </row>
    <row r="150" spans="2:14" s="11" customFormat="1" ht="18.75">
      <c r="B150" s="1" t="s">
        <v>33</v>
      </c>
      <c r="C150" s="50"/>
      <c r="E150" s="39"/>
      <c r="F150" s="52"/>
      <c r="G150" s="54">
        <f>'[1]Conso BS'!$J$105-12995</f>
        <v>11103</v>
      </c>
      <c r="H150" s="14"/>
      <c r="I150" s="54">
        <v>7001</v>
      </c>
      <c r="J150" s="14"/>
      <c r="K150" s="54">
        <f>'[1]Com BS'!$J$105-46277</f>
        <v>42069</v>
      </c>
      <c r="L150" s="14"/>
      <c r="M150" s="54">
        <v>52069</v>
      </c>
      <c r="N150" s="1"/>
    </row>
    <row r="151" spans="2:14" s="11" customFormat="1" ht="18.75">
      <c r="B151" s="1" t="s">
        <v>89</v>
      </c>
      <c r="C151" s="50"/>
      <c r="E151" s="39"/>
      <c r="F151" s="52"/>
      <c r="G151" s="54">
        <f>'[1]Conso BS'!$J$106-0</f>
        <v>85</v>
      </c>
      <c r="H151" s="14"/>
      <c r="I151" s="54">
        <v>489</v>
      </c>
      <c r="J151" s="14"/>
      <c r="K151" s="54">
        <f>'[1]Com BS'!$J$106-537809</f>
        <v>32818</v>
      </c>
      <c r="L151" s="14"/>
      <c r="M151" s="54">
        <v>460</v>
      </c>
      <c r="N151" s="1"/>
    </row>
    <row r="152" spans="2:14" s="11" customFormat="1" ht="18.75">
      <c r="B152" s="1" t="s">
        <v>88</v>
      </c>
      <c r="C152" s="50"/>
      <c r="E152" s="39"/>
      <c r="F152" s="52"/>
      <c r="G152" s="53">
        <v>59326</v>
      </c>
      <c r="H152" s="9"/>
      <c r="I152" s="53">
        <v>49956</v>
      </c>
      <c r="J152" s="9"/>
      <c r="K152" s="53">
        <f>SUM('[1]Com BS'!$J$107:$J$112)-81225-1</f>
        <v>71665</v>
      </c>
      <c r="L152" s="9"/>
      <c r="M152" s="53">
        <v>63784</v>
      </c>
      <c r="N152" s="1"/>
    </row>
    <row r="153" spans="1:14" s="11" customFormat="1" ht="18.75">
      <c r="A153" s="1" t="s">
        <v>87</v>
      </c>
      <c r="B153" s="1"/>
      <c r="C153" s="50"/>
      <c r="E153" s="39"/>
      <c r="F153" s="52"/>
      <c r="G153" s="14">
        <f>SUM(G149:G152)</f>
        <v>106815</v>
      </c>
      <c r="H153" s="14"/>
      <c r="I153" s="14">
        <f>SUM(I149:I152)</f>
        <v>95680</v>
      </c>
      <c r="J153" s="14"/>
      <c r="K153" s="14">
        <f>SUM(K149:K152)</f>
        <v>155318</v>
      </c>
      <c r="L153" s="14"/>
      <c r="M153" s="14">
        <f>SUM(M149:M152)</f>
        <v>125724</v>
      </c>
      <c r="N153" s="1"/>
    </row>
    <row r="154" spans="1:14" ht="18.75">
      <c r="A154" s="13" t="s">
        <v>86</v>
      </c>
      <c r="E154" s="37"/>
      <c r="G154" s="16">
        <f>SUM(G147:G153)-G153</f>
        <v>5344903</v>
      </c>
      <c r="H154" s="9"/>
      <c r="I154" s="16">
        <f>SUM(I147:I153)-I153</f>
        <v>5147357</v>
      </c>
      <c r="J154" s="9"/>
      <c r="K154" s="16">
        <f>SUM(K147:K153)-K153</f>
        <v>1786961</v>
      </c>
      <c r="L154" s="9"/>
      <c r="M154" s="16">
        <f>SUM(M147:M153)-M153</f>
        <v>1770450</v>
      </c>
      <c r="N154" s="11"/>
    </row>
    <row r="155" spans="1:14" ht="18.75">
      <c r="A155" s="13" t="s">
        <v>85</v>
      </c>
      <c r="E155" s="37"/>
      <c r="G155" s="9"/>
      <c r="H155" s="9"/>
      <c r="I155" s="9"/>
      <c r="J155" s="9"/>
      <c r="K155" s="9"/>
      <c r="L155" s="9"/>
      <c r="M155" s="9"/>
      <c r="N155" s="11"/>
    </row>
    <row r="156" spans="1:13" s="11" customFormat="1" ht="18.75">
      <c r="A156" s="1" t="s">
        <v>233</v>
      </c>
      <c r="C156" s="50"/>
      <c r="D156" s="50"/>
      <c r="E156" s="39">
        <v>3</v>
      </c>
      <c r="F156" s="52"/>
      <c r="G156" s="14">
        <f>'[1]Conso BS'!$J$116-3324162</f>
        <v>3148865</v>
      </c>
      <c r="H156" s="14"/>
      <c r="I156" s="14">
        <v>2995350</v>
      </c>
      <c r="J156" s="14"/>
      <c r="K156" s="14">
        <f>'[1]Com BS'!$J$116-1030873</f>
        <v>956323</v>
      </c>
      <c r="L156" s="14"/>
      <c r="M156" s="14">
        <v>965817</v>
      </c>
    </row>
    <row r="157" spans="1:13" s="11" customFormat="1" ht="18.75">
      <c r="A157" s="1" t="s">
        <v>84</v>
      </c>
      <c r="C157" s="50"/>
      <c r="D157" s="50"/>
      <c r="E157" s="39">
        <v>3</v>
      </c>
      <c r="F157" s="51"/>
      <c r="G157" s="14">
        <f>G206-1115063</f>
        <v>1084721</v>
      </c>
      <c r="H157" s="14"/>
      <c r="I157" s="14">
        <v>1003120</v>
      </c>
      <c r="J157" s="14"/>
      <c r="K157" s="14">
        <f>K206-448221</f>
        <v>442844</v>
      </c>
      <c r="L157" s="14"/>
      <c r="M157" s="14">
        <f>M206-472636</f>
        <v>385680</v>
      </c>
    </row>
    <row r="158" spans="1:13" s="11" customFormat="1" ht="18.75">
      <c r="A158" s="1" t="s">
        <v>61</v>
      </c>
      <c r="C158" s="50"/>
      <c r="D158" s="50"/>
      <c r="E158" s="37"/>
      <c r="F158" s="49"/>
      <c r="G158" s="14">
        <f>'[1]Conso BS'!$J$124-531920</f>
        <v>537952</v>
      </c>
      <c r="H158" s="14"/>
      <c r="I158" s="14">
        <v>582227</v>
      </c>
      <c r="J158" s="14"/>
      <c r="K158" s="14">
        <f>'[1]Com BS'!$J$124-177205</f>
        <v>176298</v>
      </c>
      <c r="L158" s="14"/>
      <c r="M158" s="14">
        <v>191122</v>
      </c>
    </row>
    <row r="159" spans="1:13" s="11" customFormat="1" ht="18.75">
      <c r="A159" s="1" t="s">
        <v>83</v>
      </c>
      <c r="C159" s="50"/>
      <c r="D159" s="50"/>
      <c r="E159" s="37"/>
      <c r="F159" s="49"/>
      <c r="G159" s="14">
        <f>G208-8532</f>
        <v>23626</v>
      </c>
      <c r="H159" s="14"/>
      <c r="I159" s="14">
        <f>I208-7142</f>
        <v>20130</v>
      </c>
      <c r="J159" s="14"/>
      <c r="K159" s="14">
        <f>K208-8532</f>
        <v>23626</v>
      </c>
      <c r="L159" s="14"/>
      <c r="M159" s="14">
        <f>M208-7142</f>
        <v>20130</v>
      </c>
    </row>
    <row r="160" spans="1:14" ht="18.75">
      <c r="A160" s="13" t="s">
        <v>82</v>
      </c>
      <c r="E160" s="39"/>
      <c r="G160" s="16">
        <f>SUM(G156:G159)</f>
        <v>4795164</v>
      </c>
      <c r="H160" s="9"/>
      <c r="I160" s="16">
        <f>SUM(I156:I159)</f>
        <v>4600827</v>
      </c>
      <c r="J160" s="9"/>
      <c r="K160" s="16">
        <f>SUM(K156:K159)</f>
        <v>1599091</v>
      </c>
      <c r="L160" s="9"/>
      <c r="M160" s="16">
        <f>SUM(M156:M159)</f>
        <v>1562749</v>
      </c>
      <c r="N160" s="11"/>
    </row>
    <row r="161" spans="1:14" ht="18.75">
      <c r="A161" s="21" t="s">
        <v>81</v>
      </c>
      <c r="E161" s="39"/>
      <c r="G161" s="1"/>
      <c r="H161" s="1"/>
      <c r="I161" s="1"/>
      <c r="J161" s="1"/>
      <c r="K161" s="1"/>
      <c r="L161" s="1"/>
      <c r="M161" s="1"/>
      <c r="N161" s="11"/>
    </row>
    <row r="162" spans="1:14" ht="18.75">
      <c r="A162" s="21" t="s">
        <v>80</v>
      </c>
      <c r="E162" s="39"/>
      <c r="G162" s="14">
        <f>G154-G160</f>
        <v>549739</v>
      </c>
      <c r="H162" s="9"/>
      <c r="I162" s="14">
        <f>I154-I160</f>
        <v>546530</v>
      </c>
      <c r="J162" s="9"/>
      <c r="K162" s="14">
        <f>K154-K160</f>
        <v>187870</v>
      </c>
      <c r="L162" s="9"/>
      <c r="M162" s="14">
        <f>M154-M160</f>
        <v>207701</v>
      </c>
      <c r="N162" s="11"/>
    </row>
    <row r="163" spans="1:14" s="40" customFormat="1" ht="18.75">
      <c r="A163" s="40" t="s">
        <v>79</v>
      </c>
      <c r="E163" s="47">
        <v>5</v>
      </c>
      <c r="F163" s="35"/>
      <c r="G163" s="46">
        <f>SUM('[1]Conso BS'!$J$128:$J$129)-64206</f>
        <v>55963</v>
      </c>
      <c r="H163" s="14"/>
      <c r="I163" s="46">
        <v>38559</v>
      </c>
      <c r="J163" s="14"/>
      <c r="K163" s="48">
        <f>SUM('[1]Com BS'!$J$128:$J$129)-0</f>
        <v>0</v>
      </c>
      <c r="L163" s="14"/>
      <c r="M163" s="48">
        <v>0</v>
      </c>
      <c r="N163" s="18"/>
    </row>
    <row r="164" spans="1:14" s="40" customFormat="1" ht="18.75">
      <c r="A164" s="21" t="s">
        <v>78</v>
      </c>
      <c r="E164" s="47"/>
      <c r="F164" s="35"/>
      <c r="G164" s="14">
        <f>SUM(G162:G163)</f>
        <v>605702</v>
      </c>
      <c r="H164" s="14"/>
      <c r="I164" s="14">
        <f>SUM(I162:I163)</f>
        <v>585089</v>
      </c>
      <c r="J164" s="14"/>
      <c r="K164" s="14">
        <f>SUM(K162:K163)</f>
        <v>187870</v>
      </c>
      <c r="L164" s="14"/>
      <c r="M164" s="14">
        <f>SUM(M162:M163)</f>
        <v>207701</v>
      </c>
      <c r="N164" s="18"/>
    </row>
    <row r="165" spans="1:14" ht="18.75">
      <c r="A165" s="5" t="s">
        <v>77</v>
      </c>
      <c r="E165" s="39">
        <v>3</v>
      </c>
      <c r="G165" s="46">
        <f>-'[1]Conso BS'!$J$131+154253</f>
        <v>-151893</v>
      </c>
      <c r="H165" s="14"/>
      <c r="I165" s="46">
        <v>-165313</v>
      </c>
      <c r="J165" s="14"/>
      <c r="K165" s="46">
        <f>-'[1]Com BS'!$J$131+149579</f>
        <v>-150736</v>
      </c>
      <c r="L165" s="14"/>
      <c r="M165" s="46">
        <v>-158774</v>
      </c>
      <c r="N165" s="11"/>
    </row>
    <row r="166" spans="1:14" ht="18.75">
      <c r="A166" s="21" t="s">
        <v>76</v>
      </c>
      <c r="E166" s="39"/>
      <c r="G166" s="9">
        <f>SUM(G164:G165)</f>
        <v>453809</v>
      </c>
      <c r="H166" s="9"/>
      <c r="I166" s="9">
        <f>SUM(I164:I165)</f>
        <v>419776</v>
      </c>
      <c r="J166" s="9"/>
      <c r="K166" s="9">
        <f>SUM(K164:K165)</f>
        <v>37134</v>
      </c>
      <c r="L166" s="9"/>
      <c r="M166" s="9">
        <f>SUM(M164:M165)</f>
        <v>48927</v>
      </c>
      <c r="N166" s="11"/>
    </row>
    <row r="167" spans="1:14" ht="18.75">
      <c r="A167" s="5" t="s">
        <v>75</v>
      </c>
      <c r="E167" s="39"/>
      <c r="G167" s="9">
        <f>-'[1]Conso BS'!$J$132+262838</f>
        <v>-123937</v>
      </c>
      <c r="H167" s="9"/>
      <c r="I167" s="9">
        <v>-117384</v>
      </c>
      <c r="J167" s="9"/>
      <c r="K167" s="9">
        <f>-'[1]Com BS'!$J$132+49324</f>
        <v>-11341</v>
      </c>
      <c r="L167" s="9"/>
      <c r="M167" s="9">
        <v>-21345</v>
      </c>
      <c r="N167" s="11"/>
    </row>
    <row r="168" spans="1:13" ht="19.5" thickBot="1">
      <c r="A168" s="21" t="s">
        <v>74</v>
      </c>
      <c r="D168" s="5"/>
      <c r="E168" s="39"/>
      <c r="G168" s="12">
        <f>SUM(G166:G167)</f>
        <v>329872</v>
      </c>
      <c r="H168" s="14"/>
      <c r="I168" s="12">
        <f>SUM(I166:I167)</f>
        <v>302392</v>
      </c>
      <c r="J168" s="14"/>
      <c r="K168" s="12">
        <f>SUM(K166:K167)</f>
        <v>25793</v>
      </c>
      <c r="L168" s="14"/>
      <c r="M168" s="12">
        <f>SUM(M166:M167)</f>
        <v>27582</v>
      </c>
    </row>
    <row r="169" spans="1:13" ht="3.75" customHeight="1" thickTop="1">
      <c r="A169" s="5"/>
      <c r="D169" s="5"/>
      <c r="E169" s="39"/>
      <c r="G169" s="41"/>
      <c r="H169" s="41"/>
      <c r="I169" s="41"/>
      <c r="J169" s="41"/>
      <c r="K169" s="41"/>
      <c r="L169" s="41"/>
      <c r="M169" s="41"/>
    </row>
    <row r="170" spans="1:13" ht="18.75">
      <c r="A170" s="21" t="s">
        <v>73</v>
      </c>
      <c r="G170" s="9"/>
      <c r="H170" s="9"/>
      <c r="I170" s="9"/>
      <c r="J170" s="9"/>
      <c r="K170" s="14"/>
      <c r="L170" s="14"/>
      <c r="M170" s="14"/>
    </row>
    <row r="171" spans="1:14" ht="19.5" thickBot="1">
      <c r="A171" s="5" t="s">
        <v>72</v>
      </c>
      <c r="G171" s="14">
        <f>+G168-G172</f>
        <v>316404</v>
      </c>
      <c r="H171" s="14"/>
      <c r="I171" s="14">
        <f>+I168-I172</f>
        <v>291719</v>
      </c>
      <c r="J171" s="9"/>
      <c r="K171" s="38">
        <f>K168</f>
        <v>25793</v>
      </c>
      <c r="L171" s="9"/>
      <c r="M171" s="38">
        <f>M168</f>
        <v>27582</v>
      </c>
      <c r="N171" s="11"/>
    </row>
    <row r="172" spans="1:14" ht="19.5" thickTop="1">
      <c r="A172" s="5" t="s">
        <v>71</v>
      </c>
      <c r="G172" s="46">
        <f>-'[1]Conso BS'!$J$134-23578</f>
        <v>13468</v>
      </c>
      <c r="H172" s="14"/>
      <c r="I172" s="46">
        <v>10673</v>
      </c>
      <c r="J172" s="9"/>
      <c r="K172" s="9"/>
      <c r="L172" s="9"/>
      <c r="M172" s="9"/>
      <c r="N172" s="11"/>
    </row>
    <row r="173" spans="1:14" ht="19.5" thickBot="1">
      <c r="A173" s="5"/>
      <c r="G173" s="45">
        <f>SUM(G171:G172)</f>
        <v>329872</v>
      </c>
      <c r="H173" s="14"/>
      <c r="I173" s="45">
        <f>I168</f>
        <v>302392</v>
      </c>
      <c r="J173" s="9"/>
      <c r="K173" s="9"/>
      <c r="L173" s="9"/>
      <c r="M173" s="9"/>
      <c r="N173" s="11"/>
    </row>
    <row r="174" spans="1:14" ht="3.75" customHeight="1" thickTop="1">
      <c r="A174" s="5"/>
      <c r="G174" s="44"/>
      <c r="H174" s="14"/>
      <c r="I174" s="44"/>
      <c r="J174" s="9"/>
      <c r="K174" s="9"/>
      <c r="L174" s="9"/>
      <c r="M174" s="9"/>
      <c r="N174" s="11"/>
    </row>
    <row r="175" spans="1:14" ht="18.75">
      <c r="A175" s="13" t="s">
        <v>70</v>
      </c>
      <c r="E175" s="39"/>
      <c r="G175" s="2"/>
      <c r="N175" s="11"/>
    </row>
    <row r="176" spans="1:14" ht="19.5" thickBot="1">
      <c r="A176" s="1" t="s">
        <v>69</v>
      </c>
      <c r="E176" s="39"/>
      <c r="G176" s="42">
        <f>G171*1000/G178</f>
        <v>0.2605222947348538</v>
      </c>
      <c r="H176" s="43"/>
      <c r="I176" s="42">
        <f>I171*1000/I178</f>
        <v>0.24019703700887726</v>
      </c>
      <c r="J176" s="43"/>
      <c r="K176" s="42">
        <f>K171*1000/K178</f>
        <v>0.02123756826113476</v>
      </c>
      <c r="L176" s="43"/>
      <c r="M176" s="42">
        <f>M171*1000/M178</f>
        <v>0.02271060395373237</v>
      </c>
      <c r="N176" s="11"/>
    </row>
    <row r="177" spans="5:14" s="40" customFormat="1" ht="3.75" customHeight="1" thickTop="1">
      <c r="E177" s="39"/>
      <c r="F177" s="35"/>
      <c r="G177" s="41"/>
      <c r="H177" s="41"/>
      <c r="I177" s="41"/>
      <c r="J177" s="41"/>
      <c r="K177" s="41"/>
      <c r="L177" s="41"/>
      <c r="M177" s="41"/>
      <c r="N177" s="11"/>
    </row>
    <row r="178" spans="1:14" ht="19.5" thickBot="1">
      <c r="A178" s="1" t="s">
        <v>68</v>
      </c>
      <c r="E178" s="39"/>
      <c r="G178" s="38">
        <v>1214498745</v>
      </c>
      <c r="H178" s="14"/>
      <c r="I178" s="38">
        <v>1214498745</v>
      </c>
      <c r="J178" s="14"/>
      <c r="K178" s="38">
        <v>1214498745</v>
      </c>
      <c r="L178" s="14"/>
      <c r="M178" s="38">
        <v>1214498745</v>
      </c>
      <c r="N178" s="11"/>
    </row>
    <row r="179" spans="5:14" ht="3.75" customHeight="1" thickTop="1">
      <c r="E179" s="37"/>
      <c r="G179" s="36"/>
      <c r="H179" s="36"/>
      <c r="I179" s="36"/>
      <c r="J179" s="36"/>
      <c r="K179" s="36"/>
      <c r="L179" s="36"/>
      <c r="M179" s="36"/>
      <c r="N179" s="11"/>
    </row>
    <row r="180" spans="5:14" ht="17.25" customHeight="1">
      <c r="E180" s="37"/>
      <c r="G180" s="36"/>
      <c r="H180" s="36"/>
      <c r="I180" s="36"/>
      <c r="J180" s="36"/>
      <c r="K180" s="36"/>
      <c r="L180" s="36"/>
      <c r="M180" s="36"/>
      <c r="N180" s="11"/>
    </row>
    <row r="181" spans="1:14" ht="18.75">
      <c r="A181" s="5" t="s">
        <v>0</v>
      </c>
      <c r="E181" s="37"/>
      <c r="G181" s="36"/>
      <c r="H181" s="36"/>
      <c r="I181" s="36"/>
      <c r="J181" s="36"/>
      <c r="K181" s="36"/>
      <c r="L181" s="36"/>
      <c r="M181" s="36"/>
      <c r="N181" s="11"/>
    </row>
    <row r="182" spans="1:14" ht="18.75">
      <c r="A182" s="5"/>
      <c r="E182" s="37"/>
      <c r="G182" s="36"/>
      <c r="H182" s="36"/>
      <c r="I182" s="36"/>
      <c r="J182" s="36"/>
      <c r="K182" s="36"/>
      <c r="L182" s="36"/>
      <c r="M182" s="36"/>
      <c r="N182" s="11"/>
    </row>
    <row r="183" spans="1:14" ht="18.75">
      <c r="A183" s="5"/>
      <c r="E183" s="37"/>
      <c r="G183" s="36"/>
      <c r="H183" s="36"/>
      <c r="I183" s="36"/>
      <c r="J183" s="36"/>
      <c r="K183" s="36"/>
      <c r="L183" s="36"/>
      <c r="M183" s="36"/>
      <c r="N183" s="11"/>
    </row>
    <row r="184" spans="1:14" ht="18.75">
      <c r="A184" s="5"/>
      <c r="E184" s="37"/>
      <c r="G184" s="36"/>
      <c r="H184" s="36"/>
      <c r="I184" s="36"/>
      <c r="J184" s="36"/>
      <c r="K184" s="36"/>
      <c r="L184" s="36"/>
      <c r="M184" s="36"/>
      <c r="N184" s="11"/>
    </row>
    <row r="185" spans="1:14" ht="18.75">
      <c r="A185" s="5"/>
      <c r="E185" s="37"/>
      <c r="G185" s="36"/>
      <c r="H185" s="36"/>
      <c r="I185" s="36"/>
      <c r="J185" s="36"/>
      <c r="K185" s="36"/>
      <c r="L185" s="36"/>
      <c r="M185" s="36"/>
      <c r="N185" s="11"/>
    </row>
    <row r="186" spans="1:14" ht="18.75">
      <c r="A186" s="5"/>
      <c r="E186" s="37"/>
      <c r="G186" s="36"/>
      <c r="H186" s="36"/>
      <c r="I186" s="36"/>
      <c r="J186" s="36"/>
      <c r="K186" s="36"/>
      <c r="L186" s="36"/>
      <c r="M186" s="36"/>
      <c r="N186" s="11"/>
    </row>
    <row r="187" spans="1:13" ht="26.25">
      <c r="A187" s="108" t="s">
        <v>67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1:13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7" t="s">
        <v>29</v>
      </c>
    </row>
    <row r="189" spans="1:13" ht="18.75">
      <c r="A189" s="30" t="s">
        <v>28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3" ht="18.75">
      <c r="A190" s="30" t="s">
        <v>95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ht="18.75">
      <c r="A191" s="107" t="s">
        <v>224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3:13" ht="18.75">
      <c r="C192" s="28"/>
      <c r="D192" s="28"/>
      <c r="E192" s="28"/>
      <c r="F192" s="29"/>
      <c r="G192" s="28"/>
      <c r="H192" s="28"/>
      <c r="I192" s="28"/>
      <c r="J192" s="28"/>
      <c r="M192" s="27" t="s">
        <v>94</v>
      </c>
    </row>
    <row r="193" spans="7:14" s="21" customFormat="1" ht="18.75">
      <c r="G193" s="26"/>
      <c r="H193" s="26" t="s">
        <v>25</v>
      </c>
      <c r="I193" s="26"/>
      <c r="J193" s="7"/>
      <c r="K193" s="26"/>
      <c r="L193" s="26" t="s">
        <v>24</v>
      </c>
      <c r="M193" s="26"/>
      <c r="N193" s="1"/>
    </row>
    <row r="194" spans="5:14" s="5" customFormat="1" ht="18.75">
      <c r="E194" s="25" t="s">
        <v>93</v>
      </c>
      <c r="G194" s="22">
        <v>2553</v>
      </c>
      <c r="H194" s="23"/>
      <c r="I194" s="22">
        <v>2552</v>
      </c>
      <c r="J194" s="24"/>
      <c r="K194" s="22">
        <v>2553</v>
      </c>
      <c r="L194" s="23"/>
      <c r="M194" s="22">
        <v>2552</v>
      </c>
      <c r="N194" s="1"/>
    </row>
    <row r="195" spans="1:9" ht="18.75">
      <c r="A195" s="13" t="s">
        <v>92</v>
      </c>
      <c r="I195" s="3"/>
    </row>
    <row r="196" spans="1:14" s="11" customFormat="1" ht="18.75">
      <c r="A196" s="1" t="s">
        <v>91</v>
      </c>
      <c r="B196" s="50"/>
      <c r="C196" s="50"/>
      <c r="E196" s="39">
        <v>3</v>
      </c>
      <c r="F196" s="52"/>
      <c r="G196" s="14">
        <v>11234775</v>
      </c>
      <c r="H196" s="14"/>
      <c r="I196" s="14">
        <v>10363998</v>
      </c>
      <c r="J196" s="14"/>
      <c r="K196" s="14">
        <f>'[1]Com BS'!$J$102</f>
        <v>3486808</v>
      </c>
      <c r="L196" s="14"/>
      <c r="M196" s="14">
        <v>3331635</v>
      </c>
      <c r="N196" s="21"/>
    </row>
    <row r="197" spans="1:14" s="11" customFormat="1" ht="18.75">
      <c r="A197" s="1" t="s">
        <v>90</v>
      </c>
      <c r="B197" s="56"/>
      <c r="C197" s="56"/>
      <c r="E197" s="39">
        <v>3</v>
      </c>
      <c r="F197" s="52"/>
      <c r="G197" s="14"/>
      <c r="H197" s="14"/>
      <c r="I197" s="14"/>
      <c r="J197" s="14"/>
      <c r="K197" s="14"/>
      <c r="L197" s="14"/>
      <c r="M197" s="14"/>
      <c r="N197" s="5"/>
    </row>
    <row r="198" spans="2:14" s="11" customFormat="1" ht="18.75">
      <c r="B198" s="1" t="s">
        <v>235</v>
      </c>
      <c r="C198" s="50"/>
      <c r="E198" s="39"/>
      <c r="F198" s="52"/>
      <c r="G198" s="55">
        <f>'[1]Conso BS'!$J$104</f>
        <v>74372</v>
      </c>
      <c r="H198" s="14"/>
      <c r="I198" s="55">
        <v>74883</v>
      </c>
      <c r="J198" s="14"/>
      <c r="K198" s="55">
        <f>'[1]Com BS'!$J$104</f>
        <v>17344</v>
      </c>
      <c r="L198" s="14"/>
      <c r="M198" s="55">
        <v>18377</v>
      </c>
      <c r="N198" s="1"/>
    </row>
    <row r="199" spans="2:14" s="11" customFormat="1" ht="18.75">
      <c r="B199" s="1" t="s">
        <v>33</v>
      </c>
      <c r="C199" s="50"/>
      <c r="E199" s="39"/>
      <c r="F199" s="52"/>
      <c r="G199" s="54">
        <f>'[1]Conso BS'!$J$105</f>
        <v>24098</v>
      </c>
      <c r="H199" s="14"/>
      <c r="I199" s="54">
        <v>9394</v>
      </c>
      <c r="J199" s="14"/>
      <c r="K199" s="54">
        <f>'[1]Com BS'!$J$105</f>
        <v>88346</v>
      </c>
      <c r="L199" s="14"/>
      <c r="M199" s="54">
        <v>99169</v>
      </c>
      <c r="N199" s="1"/>
    </row>
    <row r="200" spans="2:14" s="11" customFormat="1" ht="18.75">
      <c r="B200" s="1" t="s">
        <v>89</v>
      </c>
      <c r="C200" s="50"/>
      <c r="E200" s="39"/>
      <c r="F200" s="52"/>
      <c r="G200" s="54">
        <f>'[1]Conso BS'!$J$106</f>
        <v>85</v>
      </c>
      <c r="H200" s="14"/>
      <c r="I200" s="54">
        <v>530</v>
      </c>
      <c r="J200" s="14"/>
      <c r="K200" s="54">
        <f>'[1]Com BS'!$J$106</f>
        <v>570627</v>
      </c>
      <c r="L200" s="14"/>
      <c r="M200" s="54">
        <v>493362</v>
      </c>
      <c r="N200" s="1"/>
    </row>
    <row r="201" spans="2:14" s="11" customFormat="1" ht="18.75">
      <c r="B201" s="1" t="s">
        <v>88</v>
      </c>
      <c r="C201" s="50"/>
      <c r="E201" s="39"/>
      <c r="F201" s="52"/>
      <c r="G201" s="53">
        <v>121283</v>
      </c>
      <c r="H201" s="9"/>
      <c r="I201" s="53">
        <v>101677</v>
      </c>
      <c r="J201" s="9"/>
      <c r="K201" s="53">
        <f>SUM('[1]Com BS'!$J$107:$J$112)-1</f>
        <v>152890</v>
      </c>
      <c r="L201" s="9"/>
      <c r="M201" s="53">
        <v>152571</v>
      </c>
      <c r="N201" s="1"/>
    </row>
    <row r="202" spans="1:14" s="11" customFormat="1" ht="18.75">
      <c r="A202" s="1" t="s">
        <v>87</v>
      </c>
      <c r="B202" s="1"/>
      <c r="C202" s="50"/>
      <c r="E202" s="39"/>
      <c r="F202" s="52"/>
      <c r="G202" s="14">
        <f>SUM(G198:G201)</f>
        <v>219838</v>
      </c>
      <c r="H202" s="14"/>
      <c r="I202" s="14">
        <f>SUM(I198:I201)</f>
        <v>186484</v>
      </c>
      <c r="J202" s="14"/>
      <c r="K202" s="14">
        <f>SUM(K198:K201)</f>
        <v>829207</v>
      </c>
      <c r="L202" s="14"/>
      <c r="M202" s="14">
        <f>SUM(M198:M201)</f>
        <v>763479</v>
      </c>
      <c r="N202" s="1"/>
    </row>
    <row r="203" spans="1:14" ht="18.75">
      <c r="A203" s="13" t="s">
        <v>86</v>
      </c>
      <c r="E203" s="37"/>
      <c r="G203" s="16">
        <f>SUM(G196:G202)-G202</f>
        <v>11454613</v>
      </c>
      <c r="H203" s="9"/>
      <c r="I203" s="16">
        <f>SUM(I196:I202)-I202</f>
        <v>10550482</v>
      </c>
      <c r="J203" s="9"/>
      <c r="K203" s="16">
        <f>SUM(K196:K202)-K202</f>
        <v>4316015</v>
      </c>
      <c r="L203" s="9"/>
      <c r="M203" s="16">
        <f>SUM(M196:M202)-M202</f>
        <v>4095114</v>
      </c>
      <c r="N203" s="11"/>
    </row>
    <row r="204" spans="1:14" ht="18.75">
      <c r="A204" s="13" t="s">
        <v>85</v>
      </c>
      <c r="E204" s="37"/>
      <c r="G204" s="9"/>
      <c r="H204" s="9"/>
      <c r="I204" s="9"/>
      <c r="J204" s="9"/>
      <c r="K204" s="9"/>
      <c r="L204" s="9"/>
      <c r="M204" s="9"/>
      <c r="N204" s="11"/>
    </row>
    <row r="205" spans="1:13" s="11" customFormat="1" ht="18.75">
      <c r="A205" s="1" t="s">
        <v>233</v>
      </c>
      <c r="C205" s="50"/>
      <c r="D205" s="50"/>
      <c r="E205" s="39">
        <v>3</v>
      </c>
      <c r="F205" s="52"/>
      <c r="G205" s="14">
        <f>'[1]Conso BS'!$J$116</f>
        <v>6473027</v>
      </c>
      <c r="H205" s="14"/>
      <c r="I205" s="14">
        <v>6038424</v>
      </c>
      <c r="J205" s="14"/>
      <c r="K205" s="14">
        <f>'[1]Com BS'!$J$116</f>
        <v>1987196</v>
      </c>
      <c r="L205" s="14"/>
      <c r="M205" s="14">
        <v>1898835</v>
      </c>
    </row>
    <row r="206" spans="1:13" s="11" customFormat="1" ht="18.75">
      <c r="A206" s="1" t="s">
        <v>84</v>
      </c>
      <c r="C206" s="50"/>
      <c r="D206" s="50"/>
      <c r="E206" s="39">
        <v>3</v>
      </c>
      <c r="F206" s="51"/>
      <c r="G206" s="14">
        <f>SUM('[1]Conso BS'!$J$117:$J$123,'[1]Conso BS'!$J$125)-G208</f>
        <v>2199784</v>
      </c>
      <c r="H206" s="14"/>
      <c r="I206" s="14">
        <v>2104734</v>
      </c>
      <c r="J206" s="14"/>
      <c r="K206" s="14">
        <f>SUM('[1]Com BS'!$J$117:$J$123,'[1]Com BS'!$J$125)-K208</f>
        <v>891065</v>
      </c>
      <c r="L206" s="14"/>
      <c r="M206" s="14">
        <f>885588-M208</f>
        <v>858316</v>
      </c>
    </row>
    <row r="207" spans="1:13" s="11" customFormat="1" ht="18.75">
      <c r="A207" s="1" t="s">
        <v>61</v>
      </c>
      <c r="C207" s="50"/>
      <c r="D207" s="50"/>
      <c r="E207" s="37"/>
      <c r="F207" s="49"/>
      <c r="G207" s="14">
        <f>'[1]Conso BS'!$J$124</f>
        <v>1069872</v>
      </c>
      <c r="H207" s="14"/>
      <c r="I207" s="14">
        <v>1148965</v>
      </c>
      <c r="J207" s="14"/>
      <c r="K207" s="14">
        <f>'[1]Com BS'!$J$124</f>
        <v>353503</v>
      </c>
      <c r="L207" s="14"/>
      <c r="M207" s="14">
        <v>376811</v>
      </c>
    </row>
    <row r="208" spans="1:13" s="11" customFormat="1" ht="18.75">
      <c r="A208" s="1" t="s">
        <v>83</v>
      </c>
      <c r="C208" s="50"/>
      <c r="D208" s="50"/>
      <c r="E208" s="37"/>
      <c r="F208" s="49"/>
      <c r="G208" s="14">
        <v>32158</v>
      </c>
      <c r="H208" s="14"/>
      <c r="I208" s="14">
        <v>27272</v>
      </c>
      <c r="J208" s="14"/>
      <c r="K208" s="14">
        <v>32158</v>
      </c>
      <c r="L208" s="14"/>
      <c r="M208" s="14">
        <v>27272</v>
      </c>
    </row>
    <row r="209" spans="1:14" ht="18.75">
      <c r="A209" s="13" t="s">
        <v>82</v>
      </c>
      <c r="E209" s="39"/>
      <c r="G209" s="16">
        <f>SUM(G205:G208)</f>
        <v>9774841</v>
      </c>
      <c r="H209" s="9"/>
      <c r="I209" s="16">
        <f>SUM(I205:I208)</f>
        <v>9319395</v>
      </c>
      <c r="J209" s="9"/>
      <c r="K209" s="16">
        <f>SUM(K205:K208)</f>
        <v>3263922</v>
      </c>
      <c r="L209" s="9"/>
      <c r="M209" s="16">
        <f>SUM(M205:M208)</f>
        <v>3161234</v>
      </c>
      <c r="N209" s="11"/>
    </row>
    <row r="210" spans="1:14" ht="18.75">
      <c r="A210" s="21" t="s">
        <v>81</v>
      </c>
      <c r="E210" s="39"/>
      <c r="G210" s="1"/>
      <c r="H210" s="1"/>
      <c r="I210" s="1"/>
      <c r="J210" s="1"/>
      <c r="K210" s="1"/>
      <c r="L210" s="1"/>
      <c r="M210" s="1"/>
      <c r="N210" s="11"/>
    </row>
    <row r="211" spans="1:14" ht="18.75">
      <c r="A211" s="21" t="s">
        <v>80</v>
      </c>
      <c r="E211" s="39"/>
      <c r="G211" s="14">
        <f>G203-G209</f>
        <v>1679772</v>
      </c>
      <c r="H211" s="9"/>
      <c r="I211" s="14">
        <f>I203-I209</f>
        <v>1231087</v>
      </c>
      <c r="J211" s="9"/>
      <c r="K211" s="14">
        <f>K203-K209</f>
        <v>1052093</v>
      </c>
      <c r="L211" s="9"/>
      <c r="M211" s="14">
        <f>M203-M209</f>
        <v>933880</v>
      </c>
      <c r="N211" s="11"/>
    </row>
    <row r="212" spans="1:14" s="40" customFormat="1" ht="18.75">
      <c r="A212" s="40" t="s">
        <v>79</v>
      </c>
      <c r="E212" s="47">
        <v>5</v>
      </c>
      <c r="F212" s="35"/>
      <c r="G212" s="46">
        <f>SUM('[1]Conso BS'!$J$128:$J$129)</f>
        <v>120169</v>
      </c>
      <c r="H212" s="14"/>
      <c r="I212" s="46">
        <v>77227</v>
      </c>
      <c r="J212" s="14"/>
      <c r="K212" s="48">
        <f>SUM('[1]Com BS'!$J$128:$J$129)</f>
        <v>0</v>
      </c>
      <c r="L212" s="14"/>
      <c r="M212" s="48">
        <v>0</v>
      </c>
      <c r="N212" s="18"/>
    </row>
    <row r="213" spans="1:14" s="40" customFormat="1" ht="18.75">
      <c r="A213" s="21" t="s">
        <v>78</v>
      </c>
      <c r="E213" s="47"/>
      <c r="F213" s="35"/>
      <c r="G213" s="14">
        <f>SUM(G211:G212)</f>
        <v>1799941</v>
      </c>
      <c r="H213" s="14"/>
      <c r="I213" s="14">
        <f>SUM(I211:I212)</f>
        <v>1308314</v>
      </c>
      <c r="J213" s="14"/>
      <c r="K213" s="14">
        <f>SUM(K211:K212)</f>
        <v>1052093</v>
      </c>
      <c r="L213" s="14"/>
      <c r="M213" s="14">
        <f>SUM(M211:M212)</f>
        <v>933880</v>
      </c>
      <c r="N213" s="18"/>
    </row>
    <row r="214" spans="1:14" ht="18.75">
      <c r="A214" s="5" t="s">
        <v>77</v>
      </c>
      <c r="E214" s="39">
        <v>3</v>
      </c>
      <c r="G214" s="46">
        <f>-'[1]Conso BS'!$J$131</f>
        <v>-306146</v>
      </c>
      <c r="H214" s="14"/>
      <c r="I214" s="46">
        <v>-321961</v>
      </c>
      <c r="J214" s="14"/>
      <c r="K214" s="46">
        <f>-'[1]Com BS'!$J$131</f>
        <v>-300315</v>
      </c>
      <c r="L214" s="14"/>
      <c r="M214" s="46">
        <v>-309932</v>
      </c>
      <c r="N214" s="11"/>
    </row>
    <row r="215" spans="1:14" ht="18.75">
      <c r="A215" s="21" t="s">
        <v>76</v>
      </c>
      <c r="E215" s="39"/>
      <c r="G215" s="9">
        <f>SUM(G213:G214)</f>
        <v>1493795</v>
      </c>
      <c r="H215" s="9"/>
      <c r="I215" s="9">
        <f>SUM(I213:I214)</f>
        <v>986353</v>
      </c>
      <c r="J215" s="9"/>
      <c r="K215" s="9">
        <f>SUM(K213:K214)</f>
        <v>751778</v>
      </c>
      <c r="L215" s="9"/>
      <c r="M215" s="9">
        <f>SUM(M213:M214)</f>
        <v>623948</v>
      </c>
      <c r="N215" s="11"/>
    </row>
    <row r="216" spans="1:14" ht="18.75">
      <c r="A216" s="5" t="s">
        <v>75</v>
      </c>
      <c r="E216" s="39"/>
      <c r="G216" s="9">
        <f>-'[1]Conso BS'!$J$132</f>
        <v>-386775</v>
      </c>
      <c r="H216" s="9"/>
      <c r="I216" s="9">
        <v>-218155</v>
      </c>
      <c r="J216" s="9"/>
      <c r="K216" s="9">
        <f>-'[1]Com BS'!$J$132</f>
        <v>-60665</v>
      </c>
      <c r="L216" s="9"/>
      <c r="M216" s="9">
        <v>-13557</v>
      </c>
      <c r="N216" s="11"/>
    </row>
    <row r="217" spans="1:13" ht="19.5" thickBot="1">
      <c r="A217" s="21" t="s">
        <v>74</v>
      </c>
      <c r="D217" s="5"/>
      <c r="E217" s="39"/>
      <c r="G217" s="12">
        <f>SUM(G215:G216)</f>
        <v>1107020</v>
      </c>
      <c r="H217" s="14"/>
      <c r="I217" s="12">
        <f>SUM(I215:I216)</f>
        <v>768198</v>
      </c>
      <c r="J217" s="14"/>
      <c r="K217" s="12">
        <f>SUM(K215:K216)</f>
        <v>691113</v>
      </c>
      <c r="L217" s="14"/>
      <c r="M217" s="12">
        <f>SUM(M215:M216)</f>
        <v>610391</v>
      </c>
    </row>
    <row r="218" spans="1:13" ht="3.75" customHeight="1" thickTop="1">
      <c r="A218" s="5"/>
      <c r="D218" s="5"/>
      <c r="E218" s="39"/>
      <c r="G218" s="41"/>
      <c r="H218" s="41"/>
      <c r="I218" s="41"/>
      <c r="J218" s="41"/>
      <c r="K218" s="41"/>
      <c r="L218" s="41"/>
      <c r="M218" s="41"/>
    </row>
    <row r="219" spans="1:13" ht="18.75">
      <c r="A219" s="21" t="s">
        <v>73</v>
      </c>
      <c r="G219" s="9"/>
      <c r="H219" s="9"/>
      <c r="I219" s="9"/>
      <c r="J219" s="9"/>
      <c r="K219" s="14"/>
      <c r="L219" s="14"/>
      <c r="M219" s="14"/>
    </row>
    <row r="220" spans="1:14" ht="19.5" thickBot="1">
      <c r="A220" s="5" t="s">
        <v>72</v>
      </c>
      <c r="G220" s="14">
        <f>+G217-G221</f>
        <v>1069974</v>
      </c>
      <c r="H220" s="14"/>
      <c r="I220" s="14">
        <f>+I217-I221</f>
        <v>746162</v>
      </c>
      <c r="J220" s="9"/>
      <c r="K220" s="38">
        <f>K217</f>
        <v>691113</v>
      </c>
      <c r="L220" s="9"/>
      <c r="M220" s="38">
        <f>M217</f>
        <v>610391</v>
      </c>
      <c r="N220" s="11"/>
    </row>
    <row r="221" spans="1:14" ht="19.5" thickTop="1">
      <c r="A221" s="5" t="s">
        <v>71</v>
      </c>
      <c r="G221" s="46">
        <f>-'[1]Conso BS'!$J$134</f>
        <v>37046</v>
      </c>
      <c r="H221" s="14"/>
      <c r="I221" s="46">
        <v>22036</v>
      </c>
      <c r="J221" s="9"/>
      <c r="K221" s="9"/>
      <c r="L221" s="9"/>
      <c r="M221" s="9"/>
      <c r="N221" s="11"/>
    </row>
    <row r="222" spans="1:14" ht="19.5" thickBot="1">
      <c r="A222" s="5"/>
      <c r="G222" s="45">
        <f>SUM(G220:G221)</f>
        <v>1107020</v>
      </c>
      <c r="H222" s="14"/>
      <c r="I222" s="45">
        <f>I217</f>
        <v>768198</v>
      </c>
      <c r="J222" s="9"/>
      <c r="K222" s="9"/>
      <c r="L222" s="9"/>
      <c r="M222" s="9"/>
      <c r="N222" s="11"/>
    </row>
    <row r="223" spans="1:14" ht="3.75" customHeight="1" thickTop="1">
      <c r="A223" s="5"/>
      <c r="G223" s="44"/>
      <c r="H223" s="14"/>
      <c r="I223" s="44"/>
      <c r="J223" s="9"/>
      <c r="K223" s="9"/>
      <c r="L223" s="9"/>
      <c r="M223" s="9"/>
      <c r="N223" s="11"/>
    </row>
    <row r="224" spans="1:14" ht="18.75">
      <c r="A224" s="13" t="s">
        <v>70</v>
      </c>
      <c r="E224" s="39"/>
      <c r="G224" s="2"/>
      <c r="N224" s="11"/>
    </row>
    <row r="225" spans="1:14" ht="19.5" thickBot="1">
      <c r="A225" s="1" t="s">
        <v>69</v>
      </c>
      <c r="E225" s="39"/>
      <c r="G225" s="42">
        <f>G220*1000/G227</f>
        <v>0.8810004986872176</v>
      </c>
      <c r="H225" s="43"/>
      <c r="I225" s="42">
        <f>I220*1000/I227</f>
        <v>0.6143785681721722</v>
      </c>
      <c r="J225" s="43"/>
      <c r="K225" s="42">
        <f>K220*1000/K227</f>
        <v>0.5690520495350533</v>
      </c>
      <c r="L225" s="43"/>
      <c r="M225" s="42">
        <f>M220*1000/M227</f>
        <v>0.5025867688319431</v>
      </c>
      <c r="N225" s="11"/>
    </row>
    <row r="226" spans="5:14" s="40" customFormat="1" ht="3.75" customHeight="1" thickTop="1">
      <c r="E226" s="39"/>
      <c r="F226" s="35"/>
      <c r="G226" s="41"/>
      <c r="H226" s="41"/>
      <c r="I226" s="41"/>
      <c r="J226" s="41"/>
      <c r="K226" s="41"/>
      <c r="L226" s="41"/>
      <c r="M226" s="41"/>
      <c r="N226" s="11"/>
    </row>
    <row r="227" spans="1:14" ht="19.5" thickBot="1">
      <c r="A227" s="1" t="s">
        <v>68</v>
      </c>
      <c r="E227" s="39"/>
      <c r="G227" s="38">
        <v>1214498745</v>
      </c>
      <c r="H227" s="14"/>
      <c r="I227" s="38">
        <v>1214498745</v>
      </c>
      <c r="J227" s="14"/>
      <c r="K227" s="38">
        <v>1214498745</v>
      </c>
      <c r="L227" s="14"/>
      <c r="M227" s="38">
        <v>1214498745</v>
      </c>
      <c r="N227" s="11"/>
    </row>
    <row r="228" spans="5:14" ht="3.75" customHeight="1" thickTop="1">
      <c r="E228" s="37"/>
      <c r="G228" s="36"/>
      <c r="H228" s="36"/>
      <c r="I228" s="36"/>
      <c r="J228" s="36"/>
      <c r="K228" s="36"/>
      <c r="L228" s="36"/>
      <c r="M228" s="36"/>
      <c r="N228" s="11"/>
    </row>
    <row r="229" spans="5:14" ht="17.25" customHeight="1">
      <c r="E229" s="37"/>
      <c r="G229" s="36"/>
      <c r="H229" s="36"/>
      <c r="I229" s="36"/>
      <c r="J229" s="36"/>
      <c r="K229" s="36"/>
      <c r="L229" s="36"/>
      <c r="M229" s="36"/>
      <c r="N229" s="11"/>
    </row>
    <row r="230" spans="1:14" ht="18.75">
      <c r="A230" s="5" t="s">
        <v>0</v>
      </c>
      <c r="E230" s="37"/>
      <c r="G230" s="36"/>
      <c r="H230" s="36"/>
      <c r="I230" s="36"/>
      <c r="J230" s="36"/>
      <c r="K230" s="36"/>
      <c r="L230" s="36"/>
      <c r="M230" s="36"/>
      <c r="N230" s="11"/>
    </row>
    <row r="231" spans="1:14" ht="18.75">
      <c r="A231" s="5"/>
      <c r="E231" s="37"/>
      <c r="G231" s="36"/>
      <c r="H231" s="36"/>
      <c r="I231" s="36"/>
      <c r="J231" s="36"/>
      <c r="K231" s="36"/>
      <c r="L231" s="36"/>
      <c r="M231" s="36"/>
      <c r="N231" s="11"/>
    </row>
    <row r="232" spans="1:14" ht="18.75">
      <c r="A232" s="5"/>
      <c r="E232" s="37"/>
      <c r="G232" s="36"/>
      <c r="H232" s="36"/>
      <c r="I232" s="36"/>
      <c r="J232" s="36"/>
      <c r="K232" s="36"/>
      <c r="L232" s="36"/>
      <c r="M232" s="36"/>
      <c r="N232" s="11"/>
    </row>
    <row r="233" spans="1:14" ht="18.75">
      <c r="A233" s="5"/>
      <c r="E233" s="37"/>
      <c r="G233" s="36"/>
      <c r="H233" s="36"/>
      <c r="I233" s="36"/>
      <c r="J233" s="36"/>
      <c r="K233" s="36"/>
      <c r="L233" s="36"/>
      <c r="M233" s="36"/>
      <c r="N233" s="11"/>
    </row>
    <row r="234" spans="1:14" ht="18.75">
      <c r="A234" s="5"/>
      <c r="E234" s="37"/>
      <c r="G234" s="36"/>
      <c r="H234" s="36"/>
      <c r="I234" s="36"/>
      <c r="J234" s="36"/>
      <c r="K234" s="36"/>
      <c r="L234" s="36"/>
      <c r="M234" s="36"/>
      <c r="N234" s="11"/>
    </row>
    <row r="235" spans="1:14" ht="18.75">
      <c r="A235" s="5"/>
      <c r="E235" s="37"/>
      <c r="G235" s="36"/>
      <c r="H235" s="36"/>
      <c r="I235" s="36"/>
      <c r="J235" s="36"/>
      <c r="K235" s="36"/>
      <c r="L235" s="36"/>
      <c r="M235" s="36"/>
      <c r="N235" s="11"/>
    </row>
    <row r="236" spans="1:13" ht="26.25">
      <c r="A236" s="108" t="s">
        <v>223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</row>
    <row r="237" spans="1:13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7" t="s">
        <v>29</v>
      </c>
    </row>
    <row r="238" spans="1:13" ht="18.75">
      <c r="A238" s="30" t="s">
        <v>28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1:13" ht="18.75">
      <c r="A239" s="30" t="s">
        <v>66</v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1:13" ht="18.75">
      <c r="A240" s="107" t="s">
        <v>224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3:13" ht="18.75">
      <c r="C241" s="28"/>
      <c r="D241" s="28"/>
      <c r="E241" s="28"/>
      <c r="F241" s="29"/>
      <c r="G241" s="28"/>
      <c r="H241" s="28"/>
      <c r="I241" s="28"/>
      <c r="J241" s="28"/>
      <c r="M241" s="27" t="s">
        <v>26</v>
      </c>
    </row>
    <row r="242" spans="7:14" s="21" customFormat="1" ht="18.75">
      <c r="G242" s="26"/>
      <c r="H242" s="26" t="s">
        <v>25</v>
      </c>
      <c r="I242" s="26"/>
      <c r="J242" s="7"/>
      <c r="K242" s="26"/>
      <c r="L242" s="26" t="s">
        <v>24</v>
      </c>
      <c r="M242" s="26"/>
      <c r="N242" s="1"/>
    </row>
    <row r="243" spans="5:14" s="5" customFormat="1" ht="18.75">
      <c r="E243" s="25"/>
      <c r="G243" s="22">
        <v>2553</v>
      </c>
      <c r="H243" s="23"/>
      <c r="I243" s="22">
        <v>2552</v>
      </c>
      <c r="J243" s="24"/>
      <c r="K243" s="22">
        <v>2553</v>
      </c>
      <c r="L243" s="23"/>
      <c r="M243" s="22">
        <v>2552</v>
      </c>
      <c r="N243" s="1"/>
    </row>
    <row r="244" spans="1:13" ht="18.75">
      <c r="A244" s="13" t="s">
        <v>65</v>
      </c>
      <c r="E244" s="35"/>
      <c r="F244" s="35"/>
      <c r="G244" s="34"/>
      <c r="I244" s="34"/>
      <c r="K244" s="34"/>
      <c r="L244" s="3"/>
      <c r="M244" s="34"/>
    </row>
    <row r="245" spans="1:13" ht="18.75">
      <c r="A245" s="1" t="s">
        <v>64</v>
      </c>
      <c r="G245" s="9">
        <f>SUM(G215)</f>
        <v>1493795</v>
      </c>
      <c r="H245" s="9"/>
      <c r="I245" s="9">
        <f>SUM(I215)</f>
        <v>986353</v>
      </c>
      <c r="J245" s="9"/>
      <c r="K245" s="9">
        <f>SUM(K215)</f>
        <v>751778</v>
      </c>
      <c r="L245" s="9"/>
      <c r="M245" s="9">
        <f>SUM(M215)</f>
        <v>623948</v>
      </c>
    </row>
    <row r="246" spans="1:14" ht="18.75">
      <c r="A246" s="1" t="s">
        <v>63</v>
      </c>
      <c r="G246" s="9"/>
      <c r="H246" s="9"/>
      <c r="I246" s="9"/>
      <c r="J246" s="9"/>
      <c r="K246" s="33"/>
      <c r="L246" s="9"/>
      <c r="M246" s="33"/>
      <c r="N246" s="21"/>
    </row>
    <row r="247" spans="2:14" ht="18.75">
      <c r="B247" s="1" t="s">
        <v>62</v>
      </c>
      <c r="G247" s="9"/>
      <c r="H247" s="9"/>
      <c r="I247" s="9"/>
      <c r="J247" s="9"/>
      <c r="K247" s="33"/>
      <c r="L247" s="9"/>
      <c r="M247" s="33"/>
      <c r="N247" s="5"/>
    </row>
    <row r="248" spans="2:14" s="11" customFormat="1" ht="18.75">
      <c r="B248" s="17" t="s">
        <v>61</v>
      </c>
      <c r="D248" s="17"/>
      <c r="E248" s="5"/>
      <c r="F248" s="5"/>
      <c r="G248" s="10">
        <f>G207</f>
        <v>1069872</v>
      </c>
      <c r="H248" s="10"/>
      <c r="I248" s="10">
        <v>1148965</v>
      </c>
      <c r="J248" s="10"/>
      <c r="K248" s="10">
        <f>K207</f>
        <v>353503</v>
      </c>
      <c r="L248" s="10"/>
      <c r="M248" s="10">
        <v>376811</v>
      </c>
      <c r="N248" s="1"/>
    </row>
    <row r="249" spans="2:14" s="11" customFormat="1" ht="18.75">
      <c r="B249" s="17" t="s">
        <v>60</v>
      </c>
      <c r="D249" s="17"/>
      <c r="E249" s="5"/>
      <c r="F249" s="5"/>
      <c r="G249" s="10">
        <f>'[1]CF-Conso'!$Q$9</f>
        <v>1680</v>
      </c>
      <c r="H249" s="10"/>
      <c r="I249" s="10">
        <v>10906</v>
      </c>
      <c r="J249" s="10"/>
      <c r="K249" s="10">
        <f>'[1]CF-Com'!$R$9</f>
        <v>0</v>
      </c>
      <c r="L249" s="10"/>
      <c r="M249" s="10">
        <v>1135</v>
      </c>
      <c r="N249" s="1"/>
    </row>
    <row r="250" spans="2:14" s="11" customFormat="1" ht="18.75">
      <c r="B250" s="17" t="s">
        <v>59</v>
      </c>
      <c r="D250" s="17"/>
      <c r="E250" s="5"/>
      <c r="F250" s="5"/>
      <c r="G250" s="10">
        <f>'[1]CF-Conso'!$Q$10</f>
        <v>45417</v>
      </c>
      <c r="H250" s="10"/>
      <c r="I250" s="10">
        <v>49495</v>
      </c>
      <c r="J250" s="10"/>
      <c r="K250" s="10">
        <f>'[1]CF-Com'!$R$10</f>
        <v>20784</v>
      </c>
      <c r="L250" s="10"/>
      <c r="M250" s="10">
        <v>11835</v>
      </c>
      <c r="N250" s="1"/>
    </row>
    <row r="251" spans="2:14" s="11" customFormat="1" ht="18.75">
      <c r="B251" s="17" t="s">
        <v>237</v>
      </c>
      <c r="D251" s="17"/>
      <c r="E251" s="5"/>
      <c r="F251" s="5"/>
      <c r="G251" s="10">
        <f>'[1]CF-Conso'!$Q$11</f>
        <v>4074</v>
      </c>
      <c r="H251" s="10"/>
      <c r="I251" s="10">
        <v>0</v>
      </c>
      <c r="J251" s="10"/>
      <c r="K251" s="10">
        <v>0</v>
      </c>
      <c r="L251" s="10"/>
      <c r="M251" s="10">
        <v>0</v>
      </c>
      <c r="N251" s="1"/>
    </row>
    <row r="252" spans="2:14" s="11" customFormat="1" ht="18.75">
      <c r="B252" s="17" t="s">
        <v>58</v>
      </c>
      <c r="D252" s="17"/>
      <c r="E252" s="5"/>
      <c r="F252" s="5"/>
      <c r="H252" s="10"/>
      <c r="I252" s="10"/>
      <c r="J252" s="10"/>
      <c r="K252" s="10"/>
      <c r="L252" s="10"/>
      <c r="M252" s="10"/>
      <c r="N252" s="1"/>
    </row>
    <row r="253" spans="2:14" s="11" customFormat="1" ht="18.75">
      <c r="B253" s="17" t="s">
        <v>57</v>
      </c>
      <c r="D253" s="17"/>
      <c r="E253" s="5"/>
      <c r="F253" s="5"/>
      <c r="G253" s="10">
        <v>0</v>
      </c>
      <c r="H253" s="10"/>
      <c r="I253" s="10">
        <v>0</v>
      </c>
      <c r="J253" s="10"/>
      <c r="K253" s="10">
        <f>'[1]CF-Com'!$R$11</f>
        <v>0</v>
      </c>
      <c r="L253" s="10"/>
      <c r="M253" s="10">
        <v>-9585</v>
      </c>
      <c r="N253" s="1"/>
    </row>
    <row r="254" spans="2:14" s="11" customFormat="1" ht="18.75">
      <c r="B254" s="17" t="s">
        <v>56</v>
      </c>
      <c r="D254" s="17"/>
      <c r="E254" s="5"/>
      <c r="F254" s="5"/>
      <c r="G254" s="10">
        <f>'[1]CF-Conso'!$Q$12</f>
        <v>-19119</v>
      </c>
      <c r="H254" s="10"/>
      <c r="I254" s="10">
        <v>-19156</v>
      </c>
      <c r="J254" s="10"/>
      <c r="K254" s="10">
        <f>'[1]CF-Com'!$R$12</f>
        <v>-19119</v>
      </c>
      <c r="L254" s="10"/>
      <c r="M254" s="10">
        <v>-19156</v>
      </c>
      <c r="N254" s="1"/>
    </row>
    <row r="255" spans="2:13" s="11" customFormat="1" ht="18.75">
      <c r="B255" s="17" t="str">
        <f>+A163</f>
        <v>ส่วนแบ่งกำไรจากเงินลงทุนในบริษัทร่วม</v>
      </c>
      <c r="D255" s="17"/>
      <c r="E255" s="5"/>
      <c r="F255" s="5"/>
      <c r="G255" s="10">
        <f>'[1]CF-Conso'!$Q$13</f>
        <v>-120169</v>
      </c>
      <c r="H255" s="10"/>
      <c r="I255" s="10">
        <v>-77227</v>
      </c>
      <c r="J255" s="10"/>
      <c r="K255" s="10">
        <v>0</v>
      </c>
      <c r="L255" s="10"/>
      <c r="M255" s="10">
        <v>0</v>
      </c>
    </row>
    <row r="256" spans="2:13" s="11" customFormat="1" ht="18.75">
      <c r="B256" s="17" t="s">
        <v>55</v>
      </c>
      <c r="D256" s="17"/>
      <c r="E256" s="5"/>
      <c r="F256" s="5"/>
      <c r="G256" s="10">
        <f>'[1]CF-Conso'!$Q$15</f>
        <v>0</v>
      </c>
      <c r="H256" s="10"/>
      <c r="I256" s="10">
        <v>-2395</v>
      </c>
      <c r="J256" s="10"/>
      <c r="K256" s="10">
        <f>'[1]CF-Com'!$R$14</f>
        <v>0</v>
      </c>
      <c r="L256" s="10"/>
      <c r="M256" s="10">
        <v>-2395</v>
      </c>
    </row>
    <row r="257" spans="2:13" s="11" customFormat="1" ht="18.75">
      <c r="B257" s="19" t="s">
        <v>54</v>
      </c>
      <c r="D257" s="17"/>
      <c r="E257" s="5"/>
      <c r="F257" s="5"/>
      <c r="G257" s="10">
        <f>'[1]CF-Conso'!$Q$18</f>
        <v>4409</v>
      </c>
      <c r="H257" s="10"/>
      <c r="I257" s="10">
        <v>43207</v>
      </c>
      <c r="J257" s="10"/>
      <c r="K257" s="10">
        <f>'[1]CF-Com'!$R$17</f>
        <v>4409</v>
      </c>
      <c r="L257" s="10"/>
      <c r="M257" s="10">
        <v>43207</v>
      </c>
    </row>
    <row r="258" spans="2:13" s="11" customFormat="1" ht="18.75">
      <c r="B258" s="19" t="s">
        <v>53</v>
      </c>
      <c r="D258" s="17"/>
      <c r="E258" s="5"/>
      <c r="F258" s="5"/>
      <c r="G258" s="10">
        <f>'[1]CF-Conso'!$Q$19</f>
        <v>-1243</v>
      </c>
      <c r="H258" s="10"/>
      <c r="I258" s="10">
        <v>1449</v>
      </c>
      <c r="J258" s="10"/>
      <c r="K258" s="10">
        <f>'[1]CF-Com'!$R$18</f>
        <v>-5</v>
      </c>
      <c r="L258" s="10"/>
      <c r="M258" s="10">
        <v>18720</v>
      </c>
    </row>
    <row r="259" spans="2:13" s="11" customFormat="1" ht="18.75">
      <c r="B259" s="19" t="s">
        <v>52</v>
      </c>
      <c r="D259" s="17"/>
      <c r="E259" s="5"/>
      <c r="F259" s="5"/>
      <c r="G259" s="20">
        <f>'[1]CF-Conso'!$Q$20</f>
        <v>0</v>
      </c>
      <c r="H259" s="20"/>
      <c r="I259" s="20">
        <v>-6482</v>
      </c>
      <c r="J259" s="20"/>
      <c r="K259" s="20">
        <f>'[1]CF-Com'!$R$19</f>
        <v>11677</v>
      </c>
      <c r="L259" s="20"/>
      <c r="M259" s="20">
        <v>3344</v>
      </c>
    </row>
    <row r="260" spans="2:13" s="11" customFormat="1" ht="18.75">
      <c r="B260" s="19" t="s">
        <v>51</v>
      </c>
      <c r="D260" s="17"/>
      <c r="E260" s="5"/>
      <c r="F260" s="5"/>
      <c r="G260" s="20">
        <f>'[1]CF-Conso'!$Q$23</f>
        <v>-24098</v>
      </c>
      <c r="H260" s="10"/>
      <c r="I260" s="20">
        <v>-9394</v>
      </c>
      <c r="J260" s="10"/>
      <c r="K260" s="20">
        <f>'[1]CF-Com'!$R$20</f>
        <v>-88346</v>
      </c>
      <c r="L260" s="10"/>
      <c r="M260" s="20">
        <v>-99169</v>
      </c>
    </row>
    <row r="261" spans="2:13" s="11" customFormat="1" ht="18.75">
      <c r="B261" s="17" t="s">
        <v>50</v>
      </c>
      <c r="D261" s="17"/>
      <c r="E261" s="5"/>
      <c r="F261" s="5"/>
      <c r="G261" s="20">
        <f>-G200</f>
        <v>-85</v>
      </c>
      <c r="H261" s="10"/>
      <c r="I261" s="20">
        <v>-530</v>
      </c>
      <c r="J261" s="10"/>
      <c r="K261" s="20">
        <f>-K200</f>
        <v>-570627</v>
      </c>
      <c r="L261" s="10"/>
      <c r="M261" s="10">
        <v>-493362</v>
      </c>
    </row>
    <row r="262" spans="2:13" s="11" customFormat="1" ht="18.75">
      <c r="B262" s="17" t="s">
        <v>49</v>
      </c>
      <c r="D262" s="17"/>
      <c r="E262" s="5"/>
      <c r="F262" s="5"/>
      <c r="G262" s="31">
        <f>-G214</f>
        <v>306146</v>
      </c>
      <c r="H262" s="10"/>
      <c r="I262" s="31">
        <v>321961</v>
      </c>
      <c r="J262" s="10"/>
      <c r="K262" s="31">
        <f>-K214</f>
        <v>300315</v>
      </c>
      <c r="L262" s="10"/>
      <c r="M262" s="31">
        <v>309932</v>
      </c>
    </row>
    <row r="263" spans="1:14" ht="18.75">
      <c r="A263" s="1" t="s">
        <v>48</v>
      </c>
      <c r="G263" s="9"/>
      <c r="H263" s="9"/>
      <c r="I263" s="9"/>
      <c r="J263" s="9"/>
      <c r="K263" s="9"/>
      <c r="L263" s="9"/>
      <c r="M263" s="9"/>
      <c r="N263" s="11"/>
    </row>
    <row r="264" spans="2:14" ht="18.75">
      <c r="B264" s="1" t="s">
        <v>47</v>
      </c>
      <c r="G264" s="14">
        <f>SUM(G245:G262)</f>
        <v>2760679</v>
      </c>
      <c r="H264" s="9"/>
      <c r="I264" s="14">
        <f>SUM(I245:I262)</f>
        <v>2447152</v>
      </c>
      <c r="J264" s="9"/>
      <c r="K264" s="14">
        <f>SUM(K245:K262)</f>
        <v>764369</v>
      </c>
      <c r="L264" s="9"/>
      <c r="M264" s="14">
        <f>SUM(M245:M262)</f>
        <v>765265</v>
      </c>
      <c r="N264" s="11"/>
    </row>
    <row r="265" spans="1:14" ht="18.75">
      <c r="A265" s="1" t="s">
        <v>46</v>
      </c>
      <c r="G265" s="9"/>
      <c r="H265" s="9"/>
      <c r="I265" s="9"/>
      <c r="J265" s="9"/>
      <c r="K265" s="9"/>
      <c r="L265" s="9"/>
      <c r="M265" s="9"/>
      <c r="N265" s="11"/>
    </row>
    <row r="266" spans="2:13" s="11" customFormat="1" ht="18.75">
      <c r="B266" s="17" t="s">
        <v>45</v>
      </c>
      <c r="D266" s="17"/>
      <c r="E266" s="5"/>
      <c r="F266" s="5"/>
      <c r="G266" s="10">
        <f>-(G17-I17+G250)</f>
        <v>-7781</v>
      </c>
      <c r="H266" s="10"/>
      <c r="I266" s="10">
        <v>244084</v>
      </c>
      <c r="J266" s="10"/>
      <c r="K266" s="10">
        <f>-(K17-M17+K250)</f>
        <v>-60299</v>
      </c>
      <c r="L266" s="10"/>
      <c r="M266" s="10">
        <v>156572</v>
      </c>
    </row>
    <row r="267" spans="2:14" s="11" customFormat="1" ht="18.75">
      <c r="B267" s="17" t="s">
        <v>44</v>
      </c>
      <c r="D267" s="17"/>
      <c r="E267" s="5"/>
      <c r="F267" s="5"/>
      <c r="G267" s="10">
        <f>'[1]CF-Conso'!$Q$29</f>
        <v>4466</v>
      </c>
      <c r="H267" s="10"/>
      <c r="I267" s="10">
        <v>22843</v>
      </c>
      <c r="J267" s="10"/>
      <c r="K267" s="10">
        <f>'[1]CF-Com'!$R$26</f>
        <v>5804</v>
      </c>
      <c r="L267" s="10"/>
      <c r="M267" s="10">
        <v>-14234</v>
      </c>
      <c r="N267" s="1"/>
    </row>
    <row r="268" spans="2:14" s="11" customFormat="1" ht="18.75">
      <c r="B268" s="17" t="s">
        <v>43</v>
      </c>
      <c r="D268" s="17"/>
      <c r="E268" s="5"/>
      <c r="F268" s="5"/>
      <c r="G268" s="10">
        <f>-(G21-I21)</f>
        <v>35929</v>
      </c>
      <c r="H268" s="10"/>
      <c r="I268" s="10">
        <v>28146</v>
      </c>
      <c r="J268" s="10"/>
      <c r="K268" s="10">
        <f>-(K21-M21)</f>
        <v>8839</v>
      </c>
      <c r="L268" s="10"/>
      <c r="M268" s="10">
        <v>2202</v>
      </c>
      <c r="N268" s="1"/>
    </row>
    <row r="269" spans="2:14" s="11" customFormat="1" ht="18.75">
      <c r="B269" s="17" t="s">
        <v>42</v>
      </c>
      <c r="D269" s="17"/>
      <c r="E269" s="5"/>
      <c r="F269" s="5"/>
      <c r="G269" s="10">
        <f>'[1]CF-Conso'!$Q$31</f>
        <v>-47460</v>
      </c>
      <c r="H269" s="10"/>
      <c r="I269" s="10">
        <v>-19090</v>
      </c>
      <c r="J269" s="10"/>
      <c r="K269" s="10">
        <f>'[1]CF-Com'!$R$28+1</f>
        <v>-16205</v>
      </c>
      <c r="L269" s="10"/>
      <c r="M269" s="10">
        <v>-10949</v>
      </c>
      <c r="N269" s="1"/>
    </row>
    <row r="270" spans="2:13" s="11" customFormat="1" ht="18.75">
      <c r="B270" s="17" t="s">
        <v>41</v>
      </c>
      <c r="D270" s="17"/>
      <c r="E270" s="5"/>
      <c r="F270" s="5"/>
      <c r="G270" s="10">
        <f>'[1]CF-Conso'!$Q$32</f>
        <v>1356</v>
      </c>
      <c r="H270" s="10"/>
      <c r="I270" s="10">
        <v>-830</v>
      </c>
      <c r="J270" s="10"/>
      <c r="K270" s="10">
        <f>'[1]CF-Com'!$R$29</f>
        <v>227</v>
      </c>
      <c r="L270" s="10"/>
      <c r="M270" s="10">
        <v>-362</v>
      </c>
    </row>
    <row r="271" spans="1:14" ht="18.75">
      <c r="A271" s="1" t="s">
        <v>40</v>
      </c>
      <c r="G271" s="9"/>
      <c r="H271" s="9"/>
      <c r="I271" s="9"/>
      <c r="J271" s="9"/>
      <c r="K271" s="9"/>
      <c r="L271" s="9"/>
      <c r="M271" s="9"/>
      <c r="N271" s="11"/>
    </row>
    <row r="272" spans="2:13" s="11" customFormat="1" ht="18.75">
      <c r="B272" s="17" t="s">
        <v>39</v>
      </c>
      <c r="D272" s="17"/>
      <c r="E272" s="5"/>
      <c r="F272" s="5"/>
      <c r="G272" s="10">
        <f>G62-I62</f>
        <v>-85797</v>
      </c>
      <c r="H272" s="10"/>
      <c r="I272" s="10">
        <v>-117376</v>
      </c>
      <c r="J272" s="10"/>
      <c r="K272" s="10">
        <f>K62-M62</f>
        <v>-26893</v>
      </c>
      <c r="L272" s="10"/>
      <c r="M272" s="10">
        <v>-58188</v>
      </c>
    </row>
    <row r="273" spans="2:13" s="11" customFormat="1" ht="18.75">
      <c r="B273" s="17" t="s">
        <v>38</v>
      </c>
      <c r="D273" s="17"/>
      <c r="E273" s="5"/>
      <c r="F273" s="5"/>
      <c r="G273" s="10">
        <f>'[1]CF-Conso'!$Q$34</f>
        <v>-38078</v>
      </c>
      <c r="H273" s="10"/>
      <c r="I273" s="10">
        <v>-241651</v>
      </c>
      <c r="J273" s="10"/>
      <c r="K273" s="10">
        <f>'[1]CF-Com'!$R$31</f>
        <v>9713</v>
      </c>
      <c r="L273" s="10"/>
      <c r="M273" s="10">
        <v>-87315</v>
      </c>
    </row>
    <row r="274" spans="2:13" s="11" customFormat="1" ht="18.75">
      <c r="B274" s="17" t="s">
        <v>37</v>
      </c>
      <c r="D274" s="17"/>
      <c r="E274" s="5"/>
      <c r="F274" s="5"/>
      <c r="G274" s="10">
        <f>'[1]CF-Conso'!$Q$35</f>
        <v>163553</v>
      </c>
      <c r="H274" s="10"/>
      <c r="I274" s="10">
        <v>150154</v>
      </c>
      <c r="J274" s="10"/>
      <c r="K274" s="10">
        <f>'[1]CF-Com'!$R$32</f>
        <v>50823</v>
      </c>
      <c r="L274" s="10"/>
      <c r="M274" s="10">
        <v>83827</v>
      </c>
    </row>
    <row r="275" spans="2:14" s="11" customFormat="1" ht="18.75">
      <c r="B275" s="17" t="s">
        <v>36</v>
      </c>
      <c r="D275" s="17"/>
      <c r="E275" s="5"/>
      <c r="F275" s="5"/>
      <c r="G275" s="10">
        <f>'[1]CF-Conso'!$Q$36</f>
        <v>11392</v>
      </c>
      <c r="H275" s="10"/>
      <c r="I275" s="10">
        <v>-67341</v>
      </c>
      <c r="J275" s="10"/>
      <c r="K275" s="10">
        <f>'[1]CF-Com'!$R$33</f>
        <v>-28154</v>
      </c>
      <c r="L275" s="10"/>
      <c r="M275" s="10">
        <v>-226960</v>
      </c>
      <c r="N275" s="1"/>
    </row>
    <row r="276" spans="2:13" s="11" customFormat="1" ht="18.75">
      <c r="B276" s="17" t="s">
        <v>35</v>
      </c>
      <c r="D276" s="17"/>
      <c r="E276" s="5"/>
      <c r="F276" s="5"/>
      <c r="G276" s="31">
        <f>G86-I86</f>
        <v>-432</v>
      </c>
      <c r="H276" s="10"/>
      <c r="I276" s="31">
        <v>216147</v>
      </c>
      <c r="J276" s="10"/>
      <c r="K276" s="31">
        <f>K86-M86</f>
        <v>9340</v>
      </c>
      <c r="L276" s="10"/>
      <c r="M276" s="31">
        <v>210434</v>
      </c>
    </row>
    <row r="277" spans="1:13" s="11" customFormat="1" ht="18.75">
      <c r="A277" s="1" t="s">
        <v>34</v>
      </c>
      <c r="B277" s="1"/>
      <c r="D277" s="17"/>
      <c r="E277" s="5"/>
      <c r="F277" s="5"/>
      <c r="G277" s="20">
        <f>SUM(G264,G266:G276)</f>
        <v>2797827</v>
      </c>
      <c r="H277" s="10"/>
      <c r="I277" s="20">
        <f>SUM(I264,I266:I276)</f>
        <v>2662238</v>
      </c>
      <c r="J277" s="10"/>
      <c r="K277" s="20">
        <f>SUM(K264,K266:K276)</f>
        <v>717564</v>
      </c>
      <c r="L277" s="10"/>
      <c r="M277" s="20">
        <f>SUM(M264,M266:M276)</f>
        <v>820292</v>
      </c>
    </row>
    <row r="278" spans="1:13" s="11" customFormat="1" ht="18.75">
      <c r="A278" s="1"/>
      <c r="B278" s="32" t="s">
        <v>33</v>
      </c>
      <c r="D278" s="17"/>
      <c r="E278" s="5"/>
      <c r="F278" s="5"/>
      <c r="G278" s="20">
        <f>'[1]CF-Conso'!$Q$40</f>
        <v>6200</v>
      </c>
      <c r="H278" s="10"/>
      <c r="I278" s="20">
        <v>8293</v>
      </c>
      <c r="J278" s="10"/>
      <c r="K278" s="10">
        <f>'[1]CF-Com'!$R$37</f>
        <v>66902</v>
      </c>
      <c r="L278" s="10"/>
      <c r="M278" s="10">
        <v>139068</v>
      </c>
    </row>
    <row r="279" spans="1:13" s="11" customFormat="1" ht="18.75">
      <c r="A279" s="32"/>
      <c r="B279" s="32" t="s">
        <v>32</v>
      </c>
      <c r="D279" s="17"/>
      <c r="E279" s="5"/>
      <c r="F279" s="5"/>
      <c r="G279" s="11">
        <f>'[1]CF-Conso'!$Q$41</f>
        <v>-284448</v>
      </c>
      <c r="H279" s="20"/>
      <c r="I279" s="11">
        <v>-250960</v>
      </c>
      <c r="J279" s="20"/>
      <c r="K279" s="10">
        <f>'[1]CF-Com'!$R$38</f>
        <v>-285399</v>
      </c>
      <c r="L279" s="20"/>
      <c r="M279" s="10">
        <v>-250270</v>
      </c>
    </row>
    <row r="280" spans="1:13" s="11" customFormat="1" ht="18.75">
      <c r="A280" s="32"/>
      <c r="B280" s="32" t="s">
        <v>31</v>
      </c>
      <c r="D280" s="17"/>
      <c r="E280" s="5"/>
      <c r="F280" s="5"/>
      <c r="G280" s="31">
        <f>'[1]CF-Conso'!$Q$42</f>
        <v>-307413</v>
      </c>
      <c r="H280" s="10"/>
      <c r="I280" s="31">
        <v>-297755</v>
      </c>
      <c r="J280" s="10"/>
      <c r="K280" s="10">
        <f>'[1]CF-Com'!$R$39</f>
        <v>-43415</v>
      </c>
      <c r="L280" s="10"/>
      <c r="M280" s="10">
        <v>-45897</v>
      </c>
    </row>
    <row r="281" spans="1:14" ht="18.75">
      <c r="A281" s="13" t="s">
        <v>30</v>
      </c>
      <c r="G281" s="16">
        <f>SUM(G277:G280)</f>
        <v>2212166</v>
      </c>
      <c r="H281" s="9"/>
      <c r="I281" s="16">
        <f>SUM(I277:I280)</f>
        <v>2121816</v>
      </c>
      <c r="J281" s="9"/>
      <c r="K281" s="16">
        <f>SUM(K277:K280)</f>
        <v>455652</v>
      </c>
      <c r="L281" s="14"/>
      <c r="M281" s="16">
        <f>SUM(M277:M280)</f>
        <v>663193</v>
      </c>
      <c r="N281" s="11"/>
    </row>
    <row r="282" spans="7:14" ht="3" customHeight="1">
      <c r="G282" s="14"/>
      <c r="H282" s="9"/>
      <c r="I282" s="14"/>
      <c r="J282" s="9"/>
      <c r="K282" s="14"/>
      <c r="L282" s="14"/>
      <c r="M282" s="14"/>
      <c r="N282" s="11"/>
    </row>
    <row r="283" spans="1:14" ht="26.25">
      <c r="A283" s="5" t="s">
        <v>0</v>
      </c>
      <c r="G283" s="14"/>
      <c r="H283" s="9"/>
      <c r="I283" s="14"/>
      <c r="J283" s="9"/>
      <c r="K283" s="14"/>
      <c r="L283" s="14"/>
      <c r="M283" s="104">
        <v>8</v>
      </c>
      <c r="N283" s="11"/>
    </row>
    <row r="284" spans="1:14" s="5" customFormat="1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7" t="s">
        <v>29</v>
      </c>
      <c r="N284" s="1"/>
    </row>
    <row r="285" spans="1:13" ht="18.75">
      <c r="A285" s="30" t="s">
        <v>28</v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1:13" ht="18.75">
      <c r="A286" s="30" t="s">
        <v>27</v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</row>
    <row r="287" spans="1:14" ht="18.75">
      <c r="A287" s="107" t="s">
        <v>224</v>
      </c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5"/>
    </row>
    <row r="288" spans="3:14" ht="18.75">
      <c r="C288" s="28"/>
      <c r="D288" s="28"/>
      <c r="E288" s="28"/>
      <c r="F288" s="29"/>
      <c r="G288" s="28"/>
      <c r="H288" s="28"/>
      <c r="I288" s="28"/>
      <c r="J288" s="28"/>
      <c r="M288" s="27" t="s">
        <v>26</v>
      </c>
      <c r="N288" s="5"/>
    </row>
    <row r="289" spans="7:14" s="21" customFormat="1" ht="18.75">
      <c r="G289" s="26"/>
      <c r="H289" s="26" t="s">
        <v>25</v>
      </c>
      <c r="I289" s="26"/>
      <c r="J289" s="7"/>
      <c r="K289" s="26"/>
      <c r="L289" s="26" t="s">
        <v>24</v>
      </c>
      <c r="M289" s="26"/>
      <c r="N289" s="1"/>
    </row>
    <row r="290" spans="5:14" s="5" customFormat="1" ht="18.75">
      <c r="E290" s="25"/>
      <c r="G290" s="22">
        <v>2553</v>
      </c>
      <c r="H290" s="23"/>
      <c r="I290" s="22">
        <v>2552</v>
      </c>
      <c r="J290" s="24"/>
      <c r="K290" s="22">
        <v>2553</v>
      </c>
      <c r="L290" s="23"/>
      <c r="M290" s="22">
        <v>2552</v>
      </c>
      <c r="N290" s="1"/>
    </row>
    <row r="291" spans="1:9" ht="18.75">
      <c r="A291" s="13" t="s">
        <v>23</v>
      </c>
      <c r="I291" s="3"/>
    </row>
    <row r="292" spans="1:14" s="11" customFormat="1" ht="18.75">
      <c r="A292" s="17" t="s">
        <v>230</v>
      </c>
      <c r="C292" s="17"/>
      <c r="D292" s="17"/>
      <c r="E292" s="5"/>
      <c r="F292" s="5"/>
      <c r="G292" s="10">
        <f>'[1]CF-Conso'!$Q$45</f>
        <v>-849987</v>
      </c>
      <c r="H292" s="10"/>
      <c r="I292" s="10">
        <v>99943</v>
      </c>
      <c r="J292" s="10"/>
      <c r="K292" s="10">
        <f>'[1]CF-Com'!$R$42</f>
        <v>-839714</v>
      </c>
      <c r="L292" s="10"/>
      <c r="M292" s="10">
        <v>99999</v>
      </c>
      <c r="N292" s="21"/>
    </row>
    <row r="293" spans="1:14" s="11" customFormat="1" ht="18.75">
      <c r="A293" s="17" t="s">
        <v>232</v>
      </c>
      <c r="C293" s="17"/>
      <c r="D293" s="17"/>
      <c r="E293" s="5"/>
      <c r="F293" s="5"/>
      <c r="G293" s="10">
        <f>'[1]CF-Conso'!$Q$46</f>
        <v>-249</v>
      </c>
      <c r="H293" s="10"/>
      <c r="I293" s="10">
        <v>-269</v>
      </c>
      <c r="J293" s="10"/>
      <c r="K293" s="10">
        <f>'[1]CF-Com'!$R$43</f>
        <v>0</v>
      </c>
      <c r="L293" s="10"/>
      <c r="M293" s="10">
        <v>0</v>
      </c>
      <c r="N293" s="21"/>
    </row>
    <row r="294" spans="1:14" s="11" customFormat="1" ht="18.75">
      <c r="A294" s="17" t="s">
        <v>89</v>
      </c>
      <c r="C294" s="17"/>
      <c r="D294" s="17"/>
      <c r="E294" s="5"/>
      <c r="F294" s="5"/>
      <c r="G294" s="10">
        <f>'[1]CF-Conso'!$Q$52</f>
        <v>27616</v>
      </c>
      <c r="H294" s="10"/>
      <c r="I294" s="10">
        <v>28061</v>
      </c>
      <c r="J294" s="10"/>
      <c r="K294" s="10">
        <f>'[1]CF-Com'!$R$49</f>
        <v>565377</v>
      </c>
      <c r="L294" s="10"/>
      <c r="M294" s="10">
        <v>413658</v>
      </c>
      <c r="N294" s="21"/>
    </row>
    <row r="295" spans="1:14" s="11" customFormat="1" ht="18.75">
      <c r="A295" s="17" t="s">
        <v>22</v>
      </c>
      <c r="C295" s="17"/>
      <c r="D295" s="17"/>
      <c r="E295" s="5"/>
      <c r="F295" s="5"/>
      <c r="G295" s="10">
        <f>'[1]CF-Conso'!$Q$53</f>
        <v>14240</v>
      </c>
      <c r="H295" s="10"/>
      <c r="I295" s="10">
        <v>0</v>
      </c>
      <c r="J295" s="10"/>
      <c r="K295" s="10">
        <f>'[1]CF-Com'!$R$50</f>
        <v>14240</v>
      </c>
      <c r="L295" s="10"/>
      <c r="M295" s="10">
        <v>0</v>
      </c>
      <c r="N295" s="5"/>
    </row>
    <row r="296" spans="1:14" s="11" customFormat="1" ht="18.75">
      <c r="A296" s="17" t="s">
        <v>21</v>
      </c>
      <c r="C296" s="17"/>
      <c r="D296" s="17"/>
      <c r="E296" s="5"/>
      <c r="F296" s="5"/>
      <c r="G296" s="10">
        <f>'[1]CF-Conso'!$Q$54</f>
        <v>-106505</v>
      </c>
      <c r="H296" s="10"/>
      <c r="I296" s="10">
        <v>-265053</v>
      </c>
      <c r="J296" s="10"/>
      <c r="K296" s="10">
        <f>'[1]CF-Com'!$R$51</f>
        <v>-106505</v>
      </c>
      <c r="L296" s="10"/>
      <c r="M296" s="10">
        <v>-284253</v>
      </c>
      <c r="N296" s="5"/>
    </row>
    <row r="297" spans="1:13" s="11" customFormat="1" ht="18.75">
      <c r="A297" s="17" t="s">
        <v>20</v>
      </c>
      <c r="C297" s="17"/>
      <c r="D297" s="17"/>
      <c r="E297" s="5"/>
      <c r="F297" s="5"/>
      <c r="G297" s="10">
        <f>'[1]CF-Conso'!$Q$55</f>
        <v>5082</v>
      </c>
      <c r="H297" s="10"/>
      <c r="I297" s="10">
        <v>31799</v>
      </c>
      <c r="J297" s="10"/>
      <c r="K297" s="10">
        <f>'[1]CF-Com'!$R$52</f>
        <v>1437</v>
      </c>
      <c r="L297" s="10"/>
      <c r="M297" s="10">
        <v>24890</v>
      </c>
    </row>
    <row r="298" spans="1:13" s="11" customFormat="1" ht="18.75">
      <c r="A298" s="17" t="s">
        <v>19</v>
      </c>
      <c r="C298" s="17"/>
      <c r="D298" s="17"/>
      <c r="E298" s="5"/>
      <c r="F298" s="5"/>
      <c r="G298" s="10">
        <f>'[1]CF-Conso'!$Q$56</f>
        <v>-539615</v>
      </c>
      <c r="H298" s="10"/>
      <c r="I298" s="10">
        <v>-970005</v>
      </c>
      <c r="J298" s="10"/>
      <c r="K298" s="10">
        <f>'[1]CF-Com'!$R$53</f>
        <v>-148286</v>
      </c>
      <c r="L298" s="10"/>
      <c r="M298" s="10">
        <v>-116880</v>
      </c>
    </row>
    <row r="299" spans="1:13" s="11" customFormat="1" ht="18.75">
      <c r="A299" s="17" t="s">
        <v>18</v>
      </c>
      <c r="C299" s="17"/>
      <c r="D299" s="17"/>
      <c r="E299" s="5"/>
      <c r="F299" s="5"/>
      <c r="G299" s="10">
        <f>'[1]CF-Conso'!$Q$57</f>
        <v>0</v>
      </c>
      <c r="H299" s="10"/>
      <c r="I299" s="10">
        <v>0</v>
      </c>
      <c r="J299" s="10"/>
      <c r="K299" s="10">
        <f>'[1]CF-Com'!$R$54</f>
        <v>45296</v>
      </c>
      <c r="L299" s="10"/>
      <c r="M299" s="10">
        <v>-154335</v>
      </c>
    </row>
    <row r="300" spans="1:13" s="11" customFormat="1" ht="18.75">
      <c r="A300" s="17" t="s">
        <v>162</v>
      </c>
      <c r="C300" s="17"/>
      <c r="D300" s="17"/>
      <c r="E300" s="5"/>
      <c r="F300" s="5"/>
      <c r="G300" s="14">
        <f>'[1]CF-Conso'!$Q$58</f>
        <v>0</v>
      </c>
      <c r="H300" s="10"/>
      <c r="I300" s="14">
        <v>0</v>
      </c>
      <c r="J300" s="10"/>
      <c r="K300" s="10">
        <f>'[1]CF-Com'!$R$55</f>
        <v>-24710</v>
      </c>
      <c r="L300" s="10"/>
      <c r="M300" s="10">
        <v>-239727</v>
      </c>
    </row>
    <row r="301" spans="1:13" s="11" customFormat="1" ht="18.75">
      <c r="A301" s="17" t="s">
        <v>17</v>
      </c>
      <c r="C301" s="17"/>
      <c r="D301" s="17"/>
      <c r="E301" s="5"/>
      <c r="F301" s="5"/>
      <c r="G301" s="10">
        <f>'[1]CF-Conso'!$Q$59</f>
        <v>0</v>
      </c>
      <c r="H301" s="10"/>
      <c r="I301" s="10">
        <v>0</v>
      </c>
      <c r="J301" s="10"/>
      <c r="K301" s="10">
        <f>'[1]CF-Com'!$R$56</f>
        <v>617639</v>
      </c>
      <c r="L301" s="10"/>
      <c r="M301" s="10">
        <v>600976</v>
      </c>
    </row>
    <row r="302" spans="1:13" s="11" customFormat="1" ht="18.75">
      <c r="A302" s="17" t="s">
        <v>16</v>
      </c>
      <c r="C302" s="17"/>
      <c r="D302" s="17"/>
      <c r="E302" s="5"/>
      <c r="F302" s="5"/>
      <c r="G302" s="10">
        <f>'[1]CF-Conso'!$Q$60</f>
        <v>-16918</v>
      </c>
      <c r="H302" s="20"/>
      <c r="I302" s="10">
        <v>-5770</v>
      </c>
      <c r="J302" s="20"/>
      <c r="K302" s="10">
        <f>'[1]CF-Com'!$R$57</f>
        <v>-96</v>
      </c>
      <c r="L302" s="20"/>
      <c r="M302" s="10">
        <v>-3119</v>
      </c>
    </row>
    <row r="303" spans="1:14" ht="18.75">
      <c r="A303" s="13" t="s">
        <v>234</v>
      </c>
      <c r="G303" s="16">
        <f>SUM(G292:G302)</f>
        <v>-1466336</v>
      </c>
      <c r="H303" s="9"/>
      <c r="I303" s="16">
        <f>SUM(I292:I302)</f>
        <v>-1081294</v>
      </c>
      <c r="J303" s="9"/>
      <c r="K303" s="16">
        <f>SUM(K292:K302)</f>
        <v>124678</v>
      </c>
      <c r="L303" s="9"/>
      <c r="M303" s="16">
        <f>SUM(M292:M302)</f>
        <v>341209</v>
      </c>
      <c r="N303" s="11"/>
    </row>
    <row r="304" spans="1:14" ht="18.75">
      <c r="A304" s="13"/>
      <c r="G304" s="14"/>
      <c r="H304" s="9"/>
      <c r="I304" s="14"/>
      <c r="J304" s="9"/>
      <c r="K304" s="14"/>
      <c r="L304" s="9"/>
      <c r="M304" s="14"/>
      <c r="N304" s="11"/>
    </row>
    <row r="305" spans="1:14" ht="18.75">
      <c r="A305" s="13" t="s">
        <v>15</v>
      </c>
      <c r="G305" s="9"/>
      <c r="H305" s="9"/>
      <c r="I305" s="9"/>
      <c r="J305" s="9"/>
      <c r="K305" s="9"/>
      <c r="L305" s="9"/>
      <c r="M305" s="9"/>
      <c r="N305" s="11"/>
    </row>
    <row r="306" spans="1:14" ht="18.75">
      <c r="A306" s="1" t="s">
        <v>227</v>
      </c>
      <c r="G306" s="9">
        <f>'[1]CF-Conso'!$Q$63</f>
        <v>0</v>
      </c>
      <c r="H306" s="9"/>
      <c r="I306" s="9">
        <v>-500000</v>
      </c>
      <c r="J306" s="9"/>
      <c r="K306" s="9">
        <f>'[1]CF-Com'!$R$60</f>
        <v>0</v>
      </c>
      <c r="L306" s="9"/>
      <c r="M306" s="9">
        <v>-500000</v>
      </c>
      <c r="N306" s="11"/>
    </row>
    <row r="307" spans="1:14" s="11" customFormat="1" ht="18.75">
      <c r="A307" s="19" t="s">
        <v>226</v>
      </c>
      <c r="C307" s="17"/>
      <c r="D307" s="17"/>
      <c r="E307" s="5"/>
      <c r="F307" s="5"/>
      <c r="G307" s="14">
        <f>'[1]CF-Conso'!$Q$64</f>
        <v>0</v>
      </c>
      <c r="H307" s="10"/>
      <c r="I307" s="10">
        <v>0</v>
      </c>
      <c r="J307" s="10"/>
      <c r="K307" s="14">
        <f>'[1]CF-Com'!$R$61</f>
        <v>155125</v>
      </c>
      <c r="L307" s="10"/>
      <c r="M307" s="14">
        <v>-83677</v>
      </c>
      <c r="N307" s="18"/>
    </row>
    <row r="308" spans="1:14" s="11" customFormat="1" ht="18.75">
      <c r="A308" s="17" t="s">
        <v>14</v>
      </c>
      <c r="C308" s="17"/>
      <c r="D308" s="17"/>
      <c r="E308" s="5"/>
      <c r="F308" s="5"/>
      <c r="G308" s="10">
        <f>'[1]CF-Conso'!$Q$67</f>
        <v>0</v>
      </c>
      <c r="H308" s="10"/>
      <c r="I308" s="10">
        <v>189934</v>
      </c>
      <c r="J308" s="10"/>
      <c r="K308" s="10">
        <f>'[1]CF-Com'!$R$64</f>
        <v>0</v>
      </c>
      <c r="L308" s="10"/>
      <c r="M308" s="10">
        <v>189934</v>
      </c>
      <c r="N308" s="1"/>
    </row>
    <row r="309" spans="1:14" s="11" customFormat="1" ht="18.75">
      <c r="A309" s="17" t="s">
        <v>13</v>
      </c>
      <c r="C309" s="17"/>
      <c r="D309" s="17"/>
      <c r="E309" s="5"/>
      <c r="F309" s="5"/>
      <c r="G309" s="10">
        <f>'[1]CF-Conso'!$Q$68</f>
        <v>-181300</v>
      </c>
      <c r="H309" s="10"/>
      <c r="I309" s="10">
        <v>-198470</v>
      </c>
      <c r="J309" s="10"/>
      <c r="K309" s="10">
        <f>'[1]CF-Com'!$R$65</f>
        <v>-171900</v>
      </c>
      <c r="L309" s="10"/>
      <c r="M309" s="10">
        <v>-171900</v>
      </c>
      <c r="N309" s="1"/>
    </row>
    <row r="310" spans="1:13" s="11" customFormat="1" ht="18.75">
      <c r="A310" s="17" t="s">
        <v>12</v>
      </c>
      <c r="C310" s="17"/>
      <c r="D310" s="17"/>
      <c r="E310" s="5"/>
      <c r="F310" s="5"/>
      <c r="G310" s="10">
        <f>'[1]CF-Conso'!$Q$69</f>
        <v>-56993</v>
      </c>
      <c r="H310" s="10"/>
      <c r="I310" s="10">
        <v>-70506</v>
      </c>
      <c r="J310" s="10"/>
      <c r="K310" s="10">
        <f>'[1]CF-Com'!$R$66</f>
        <v>-1198</v>
      </c>
      <c r="L310" s="10"/>
      <c r="M310" s="10">
        <v>-9032</v>
      </c>
    </row>
    <row r="311" spans="1:13" s="11" customFormat="1" ht="18.75">
      <c r="A311" s="17" t="s">
        <v>228</v>
      </c>
      <c r="C311" s="17"/>
      <c r="D311" s="17"/>
      <c r="E311" s="5"/>
      <c r="F311" s="5"/>
      <c r="G311" s="10">
        <f>'[1]CF-Conso'!$Q$70</f>
        <v>0</v>
      </c>
      <c r="H311" s="10"/>
      <c r="I311" s="10">
        <v>2992990</v>
      </c>
      <c r="J311" s="10"/>
      <c r="K311" s="10">
        <f>'[1]CF-Com'!$R$67</f>
        <v>0</v>
      </c>
      <c r="L311" s="10"/>
      <c r="M311" s="10">
        <v>2992990</v>
      </c>
    </row>
    <row r="312" spans="1:13" s="11" customFormat="1" ht="18.75">
      <c r="A312" s="17" t="s">
        <v>11</v>
      </c>
      <c r="C312" s="17"/>
      <c r="D312" s="17"/>
      <c r="E312" s="5"/>
      <c r="F312" s="5"/>
      <c r="G312" s="10">
        <f>'[1]CF-Conso'!$Q$72</f>
        <v>0</v>
      </c>
      <c r="H312" s="10"/>
      <c r="I312" s="10">
        <v>-78738</v>
      </c>
      <c r="J312" s="10"/>
      <c r="K312" s="10">
        <f>'[1]CF-Com'!$R$69</f>
        <v>0</v>
      </c>
      <c r="L312" s="10"/>
      <c r="M312" s="10">
        <v>-78738</v>
      </c>
    </row>
    <row r="313" spans="1:13" s="11" customFormat="1" ht="18.75">
      <c r="A313" s="17" t="s">
        <v>225</v>
      </c>
      <c r="C313" s="17"/>
      <c r="D313" s="17"/>
      <c r="E313" s="5"/>
      <c r="F313" s="5"/>
      <c r="G313" s="10">
        <f>'[1]CF-Conso'!$Q$74</f>
        <v>-850140</v>
      </c>
      <c r="H313" s="10"/>
      <c r="I313" s="10">
        <v>-728694</v>
      </c>
      <c r="J313" s="10"/>
      <c r="K313" s="10">
        <f>'[1]CF-Com'!$R$71</f>
        <v>-850140</v>
      </c>
      <c r="L313" s="10"/>
      <c r="M313" s="10">
        <v>-728694</v>
      </c>
    </row>
    <row r="314" spans="1:13" s="11" customFormat="1" ht="18.75">
      <c r="A314" s="17" t="s">
        <v>229</v>
      </c>
      <c r="C314" s="17"/>
      <c r="D314" s="17"/>
      <c r="E314" s="5"/>
      <c r="F314" s="5"/>
      <c r="G314" s="10">
        <f>'[1]CF-Conso'!$Q$75</f>
        <v>-25901</v>
      </c>
      <c r="H314" s="10"/>
      <c r="I314" s="10">
        <v>-25055</v>
      </c>
      <c r="J314" s="10"/>
      <c r="K314" s="10">
        <v>0</v>
      </c>
      <c r="L314" s="10"/>
      <c r="M314" s="10">
        <v>0</v>
      </c>
    </row>
    <row r="315" spans="1:14" ht="18.75">
      <c r="A315" s="13" t="s">
        <v>10</v>
      </c>
      <c r="G315" s="16">
        <f>SUM(G307:G314)</f>
        <v>-1114334</v>
      </c>
      <c r="H315" s="9"/>
      <c r="I315" s="16">
        <f>SUM(I306:I314)</f>
        <v>1581461</v>
      </c>
      <c r="J315" s="9"/>
      <c r="K315" s="16">
        <f>SUM(K307:K314)</f>
        <v>-868113</v>
      </c>
      <c r="L315" s="9"/>
      <c r="M315" s="16">
        <f>SUM(M306:M314)</f>
        <v>1610883</v>
      </c>
      <c r="N315" s="11"/>
    </row>
    <row r="316" spans="1:14" ht="18.75">
      <c r="A316" s="1" t="s">
        <v>9</v>
      </c>
      <c r="G316" s="9">
        <f>G281+G303+G315</f>
        <v>-368504</v>
      </c>
      <c r="H316" s="9"/>
      <c r="I316" s="9">
        <f>I281+I303+I315</f>
        <v>2621983</v>
      </c>
      <c r="J316" s="9"/>
      <c r="K316" s="9">
        <f>K281+K303+K315</f>
        <v>-287783</v>
      </c>
      <c r="L316" s="9"/>
      <c r="M316" s="9">
        <f>M281+M303+M315</f>
        <v>2615285</v>
      </c>
      <c r="N316" s="11"/>
    </row>
    <row r="317" spans="1:14" ht="18.75">
      <c r="A317" s="1" t="s">
        <v>8</v>
      </c>
      <c r="G317" s="14">
        <f>I12</f>
        <v>1886442</v>
      </c>
      <c r="H317" s="14"/>
      <c r="I317" s="15">
        <v>1246394</v>
      </c>
      <c r="J317" s="14"/>
      <c r="K317" s="14">
        <f>M12</f>
        <v>1132426</v>
      </c>
      <c r="L317" s="14"/>
      <c r="M317" s="14">
        <v>657871</v>
      </c>
      <c r="N317" s="11"/>
    </row>
    <row r="318" spans="1:14" ht="19.5" thickBot="1">
      <c r="A318" s="13" t="s">
        <v>7</v>
      </c>
      <c r="B318" s="13"/>
      <c r="G318" s="12">
        <f>SUM(G316:G317)</f>
        <v>1517938</v>
      </c>
      <c r="H318" s="9"/>
      <c r="I318" s="12">
        <f>SUM(I316:I317)</f>
        <v>3868377</v>
      </c>
      <c r="J318" s="9"/>
      <c r="K318" s="12">
        <f>SUM(K316:K317)</f>
        <v>844643</v>
      </c>
      <c r="L318" s="9"/>
      <c r="M318" s="12">
        <f>SUM(M316:M317)</f>
        <v>3273156</v>
      </c>
      <c r="N318" s="11"/>
    </row>
    <row r="319" spans="7:13" ht="14.25" customHeight="1" thickTop="1">
      <c r="G319" s="9">
        <f>+G318-G12</f>
        <v>0</v>
      </c>
      <c r="H319" s="9"/>
      <c r="I319" s="9"/>
      <c r="J319" s="9"/>
      <c r="K319" s="9">
        <f>+K318-K12</f>
        <v>0</v>
      </c>
      <c r="L319" s="9"/>
      <c r="M319" s="9"/>
    </row>
    <row r="320" spans="1:13" ht="18.75">
      <c r="A320" s="11" t="s">
        <v>6</v>
      </c>
      <c r="G320" s="9"/>
      <c r="H320" s="9"/>
      <c r="I320" s="9"/>
      <c r="J320" s="9"/>
      <c r="K320" s="9"/>
      <c r="L320" s="9"/>
      <c r="M320" s="9"/>
    </row>
    <row r="321" spans="1:13" ht="18.75">
      <c r="A321" s="1" t="s">
        <v>5</v>
      </c>
      <c r="G321" s="9"/>
      <c r="H321" s="9"/>
      <c r="I321" s="9"/>
      <c r="J321" s="9"/>
      <c r="K321" s="9"/>
      <c r="L321" s="9"/>
      <c r="M321" s="9" t="s">
        <v>231</v>
      </c>
    </row>
    <row r="322" spans="2:13" ht="18.75">
      <c r="B322" s="1" t="s">
        <v>4</v>
      </c>
      <c r="G322" s="10">
        <f>'[1]CF-Conso'!$Q$87</f>
        <v>58557</v>
      </c>
      <c r="H322" s="9"/>
      <c r="I322" s="10">
        <v>57555</v>
      </c>
      <c r="J322" s="9"/>
      <c r="K322" s="9">
        <f>'[1]CF-Com'!$R$82</f>
        <v>0</v>
      </c>
      <c r="L322" s="9"/>
      <c r="M322" s="9">
        <v>0</v>
      </c>
    </row>
    <row r="323" spans="2:13" ht="18.75">
      <c r="B323" s="1" t="s">
        <v>236</v>
      </c>
      <c r="G323" s="10">
        <f>'[1]CF-Conso'!$Q$88</f>
        <v>-64817</v>
      </c>
      <c r="H323" s="9"/>
      <c r="I323" s="10">
        <v>-190925</v>
      </c>
      <c r="J323" s="9"/>
      <c r="K323" s="9">
        <f>'[1]CF-Com'!$R$83</f>
        <v>14541</v>
      </c>
      <c r="L323" s="9"/>
      <c r="M323" s="9">
        <v>-95239</v>
      </c>
    </row>
    <row r="324" spans="2:13" ht="18.75">
      <c r="B324" s="1" t="s">
        <v>3</v>
      </c>
      <c r="G324" s="9">
        <f>'[1]CF-Conso'!$Q$89</f>
        <v>9802</v>
      </c>
      <c r="H324" s="9"/>
      <c r="I324" s="9">
        <v>-41052</v>
      </c>
      <c r="J324" s="9"/>
      <c r="K324" s="9">
        <f>'[1]CF-Com'!$R$84</f>
        <v>8586</v>
      </c>
      <c r="L324" s="9"/>
      <c r="M324" s="9">
        <v>-15155</v>
      </c>
    </row>
    <row r="325" spans="2:13" ht="18.75">
      <c r="B325" s="1" t="s">
        <v>2</v>
      </c>
      <c r="G325" s="9">
        <f>'[1]CF-Conso'!$Q$93</f>
        <v>6160</v>
      </c>
      <c r="H325" s="9"/>
      <c r="I325" s="9">
        <v>0</v>
      </c>
      <c r="J325" s="9"/>
      <c r="K325" s="9">
        <f>'[1]CF-Com'!$R$88</f>
        <v>5250</v>
      </c>
      <c r="L325" s="9"/>
      <c r="M325" s="9">
        <v>79704</v>
      </c>
    </row>
    <row r="326" spans="2:13" ht="18.75">
      <c r="B326" s="1" t="s">
        <v>1</v>
      </c>
      <c r="G326" s="9">
        <f>'[1]CF-Conso'!$Q$91</f>
        <v>0</v>
      </c>
      <c r="H326" s="9"/>
      <c r="I326" s="9">
        <v>657</v>
      </c>
      <c r="J326" s="9"/>
      <c r="K326" s="9">
        <f>'[1]CF-Com'!$R$86</f>
        <v>0</v>
      </c>
      <c r="L326" s="9"/>
      <c r="M326" s="9">
        <v>0</v>
      </c>
    </row>
    <row r="327" spans="7:13" ht="18.75">
      <c r="G327" s="8"/>
      <c r="H327" s="8"/>
      <c r="I327" s="8"/>
      <c r="J327" s="8"/>
      <c r="K327" s="8"/>
      <c r="L327" s="8"/>
      <c r="M327" s="8"/>
    </row>
    <row r="328" spans="1:14" s="5" customFormat="1" ht="18.75">
      <c r="A328" s="5" t="s">
        <v>0</v>
      </c>
      <c r="G328" s="7"/>
      <c r="H328" s="7"/>
      <c r="I328" s="7"/>
      <c r="J328" s="7"/>
      <c r="K328" s="7"/>
      <c r="L328" s="7"/>
      <c r="N328" s="1"/>
    </row>
    <row r="329" spans="13:14" ht="26.25">
      <c r="M329" s="105">
        <v>9</v>
      </c>
      <c r="N329" s="5"/>
    </row>
    <row r="330" ht="18.75">
      <c r="N330" s="5"/>
    </row>
    <row r="331" ht="18.75">
      <c r="N331" s="5"/>
    </row>
  </sheetData>
  <sheetProtection/>
  <mergeCells count="9">
    <mergeCell ref="A240:M240"/>
    <mergeCell ref="A287:M287"/>
    <mergeCell ref="A46:M46"/>
    <mergeCell ref="A92:M92"/>
    <mergeCell ref="A138:M138"/>
    <mergeCell ref="A187:M187"/>
    <mergeCell ref="A142:M142"/>
    <mergeCell ref="A191:M191"/>
    <mergeCell ref="A236:M236"/>
  </mergeCells>
  <printOptions/>
  <pageMargins left="0.984251968503937" right="0.393700787401575" top="0.78740157480315" bottom="0.22" header="0.196850393700787" footer="0.196850393700787"/>
  <pageSetup firstPageNumber="3" useFirstPageNumber="1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showGridLines="0" zoomScale="87" zoomScaleNormal="87" zoomScaleSheetLayoutView="91" zoomScalePageLayoutView="0" workbookViewId="0" topLeftCell="A63">
      <selection activeCell="A67" sqref="A67:Z67"/>
    </sheetView>
  </sheetViews>
  <sheetFormatPr defaultColWidth="8.00390625" defaultRowHeight="21.75"/>
  <cols>
    <col min="1" max="1" width="36.28125" style="80" customWidth="1"/>
    <col min="2" max="2" width="5.7109375" style="80" customWidth="1"/>
    <col min="3" max="3" width="1.421875" style="80" customWidth="1"/>
    <col min="4" max="4" width="12.140625" style="81" bestFit="1" customWidth="1"/>
    <col min="5" max="5" width="0.5625" style="81" customWidth="1"/>
    <col min="6" max="6" width="12.28125" style="81" bestFit="1" customWidth="1"/>
    <col min="7" max="7" width="0.5625" style="81" customWidth="1"/>
    <col min="8" max="8" width="11.00390625" style="81" bestFit="1" customWidth="1"/>
    <col min="9" max="9" width="0.5625" style="81" customWidth="1"/>
    <col min="10" max="10" width="14.57421875" style="81" bestFit="1" customWidth="1"/>
    <col min="11" max="11" width="0.5625" style="81" customWidth="1"/>
    <col min="12" max="12" width="12.140625" style="81" bestFit="1" customWidth="1"/>
    <col min="13" max="13" width="0.5625" style="81" customWidth="1"/>
    <col min="14" max="14" width="13.421875" style="81" bestFit="1" customWidth="1"/>
    <col min="15" max="15" width="0.5625" style="81" customWidth="1"/>
    <col min="16" max="16" width="14.00390625" style="81" customWidth="1"/>
    <col min="17" max="17" width="0.5625" style="81" customWidth="1"/>
    <col min="18" max="18" width="10.8515625" style="81" bestFit="1" customWidth="1"/>
    <col min="19" max="19" width="0.5625" style="81" customWidth="1"/>
    <col min="20" max="20" width="12.28125" style="81" bestFit="1" customWidth="1"/>
    <col min="21" max="21" width="0.5625" style="81" customWidth="1"/>
    <col min="22" max="22" width="13.00390625" style="81" bestFit="1" customWidth="1"/>
    <col min="23" max="23" width="0.5625" style="81" customWidth="1"/>
    <col min="24" max="24" width="12.140625" style="81" bestFit="1" customWidth="1"/>
    <col min="25" max="25" width="0.5625" style="81" customWidth="1"/>
    <col min="26" max="26" width="13.421875" style="81" customWidth="1"/>
    <col min="27" max="27" width="1.7109375" style="81" customWidth="1"/>
    <col min="28" max="35" width="8.00390625" style="81" customWidth="1"/>
    <col min="36" max="16384" width="8.00390625" style="80" customWidth="1"/>
  </cols>
  <sheetData>
    <row r="1" ht="18.75">
      <c r="Z1" s="27" t="s">
        <v>29</v>
      </c>
    </row>
    <row r="2" spans="1:26" ht="18.75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80"/>
    </row>
    <row r="3" spans="1:26" ht="18.75">
      <c r="A3" s="99" t="s">
        <v>219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18.75">
      <c r="A4" s="100" t="s">
        <v>224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4:35" s="97" customFormat="1" ht="18.75">
      <c r="D5" s="96"/>
      <c r="E5" s="91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8" t="s">
        <v>26</v>
      </c>
      <c r="AA5" s="96"/>
      <c r="AB5" s="96"/>
      <c r="AC5" s="96"/>
      <c r="AD5" s="96"/>
      <c r="AE5" s="96"/>
      <c r="AF5" s="96"/>
      <c r="AG5" s="96"/>
      <c r="AH5" s="96"/>
      <c r="AI5" s="96"/>
    </row>
    <row r="6" spans="3:26" ht="18.75">
      <c r="C6" s="97"/>
      <c r="D6" s="109" t="s">
        <v>25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3:26" ht="18.75">
      <c r="C7" s="97"/>
      <c r="D7" s="110" t="s">
        <v>218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91"/>
      <c r="X7" s="91"/>
      <c r="Y7" s="91"/>
      <c r="Z7" s="91"/>
    </row>
    <row r="8" spans="2:35" s="88" customFormat="1" ht="18.75">
      <c r="B8" s="101"/>
      <c r="C8" s="101"/>
      <c r="D8" s="91"/>
      <c r="E8" s="91"/>
      <c r="F8" s="95"/>
      <c r="G8" s="95"/>
      <c r="H8" s="95"/>
      <c r="I8" s="95"/>
      <c r="J8" s="89"/>
      <c r="K8" s="95"/>
      <c r="L8" s="95"/>
      <c r="M8" s="89"/>
      <c r="N8" s="91"/>
      <c r="O8" s="89"/>
      <c r="P8" s="89" t="s">
        <v>130</v>
      </c>
      <c r="Q8" s="89"/>
      <c r="R8" s="109" t="s">
        <v>105</v>
      </c>
      <c r="S8" s="109"/>
      <c r="T8" s="109"/>
      <c r="U8" s="91"/>
      <c r="V8" s="89"/>
      <c r="W8" s="91"/>
      <c r="X8" s="89" t="s">
        <v>217</v>
      </c>
      <c r="Y8" s="91"/>
      <c r="Z8" s="89"/>
      <c r="AA8" s="89"/>
      <c r="AB8" s="89"/>
      <c r="AC8" s="89"/>
      <c r="AD8" s="89"/>
      <c r="AE8" s="89"/>
      <c r="AF8" s="89"/>
      <c r="AG8" s="89"/>
      <c r="AH8" s="89"/>
      <c r="AI8" s="89"/>
    </row>
    <row r="9" spans="4:35" s="88" customFormat="1" ht="18.75">
      <c r="D9" s="89" t="s">
        <v>118</v>
      </c>
      <c r="E9" s="89"/>
      <c r="F9" s="89"/>
      <c r="G9" s="89"/>
      <c r="H9" s="89" t="s">
        <v>213</v>
      </c>
      <c r="I9" s="89"/>
      <c r="J9" s="89" t="s">
        <v>216</v>
      </c>
      <c r="K9" s="89"/>
      <c r="L9" s="89" t="s">
        <v>202</v>
      </c>
      <c r="M9" s="89"/>
      <c r="N9" s="89"/>
      <c r="O9" s="91"/>
      <c r="P9" s="89" t="s">
        <v>201</v>
      </c>
      <c r="Q9" s="91"/>
      <c r="R9" s="89" t="s">
        <v>200</v>
      </c>
      <c r="S9" s="89"/>
      <c r="T9" s="89"/>
      <c r="U9" s="89"/>
      <c r="V9" s="89" t="s">
        <v>215</v>
      </c>
      <c r="W9" s="89"/>
      <c r="X9" s="89" t="s">
        <v>212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4:35" s="88" customFormat="1" ht="18.75">
      <c r="D10" s="89" t="s">
        <v>199</v>
      </c>
      <c r="E10" s="89"/>
      <c r="F10" s="89" t="s">
        <v>198</v>
      </c>
      <c r="G10" s="89"/>
      <c r="H10" s="89" t="s">
        <v>214</v>
      </c>
      <c r="I10" s="89"/>
      <c r="J10" s="89" t="s">
        <v>197</v>
      </c>
      <c r="K10" s="89"/>
      <c r="L10" s="89" t="s">
        <v>196</v>
      </c>
      <c r="M10" s="89"/>
      <c r="N10" s="88" t="s">
        <v>213</v>
      </c>
      <c r="O10" s="89"/>
      <c r="P10" s="89" t="s">
        <v>195</v>
      </c>
      <c r="Q10" s="89"/>
      <c r="R10" s="89" t="s">
        <v>194</v>
      </c>
      <c r="S10" s="89"/>
      <c r="T10" s="89"/>
      <c r="U10" s="89"/>
      <c r="V10" s="89" t="s">
        <v>212</v>
      </c>
      <c r="W10" s="89"/>
      <c r="X10" s="89" t="s">
        <v>211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</row>
    <row r="11" spans="2:35" s="88" customFormat="1" ht="18.75">
      <c r="B11" s="25" t="s">
        <v>93</v>
      </c>
      <c r="D11" s="90" t="s">
        <v>193</v>
      </c>
      <c r="E11" s="89"/>
      <c r="F11" s="90" t="s">
        <v>192</v>
      </c>
      <c r="G11" s="89"/>
      <c r="H11" s="90" t="s">
        <v>210</v>
      </c>
      <c r="I11" s="89"/>
      <c r="J11" s="90" t="s">
        <v>191</v>
      </c>
      <c r="K11" s="89"/>
      <c r="L11" s="90" t="s">
        <v>190</v>
      </c>
      <c r="M11" s="91"/>
      <c r="N11" s="90" t="s">
        <v>209</v>
      </c>
      <c r="O11" s="89"/>
      <c r="P11" s="90" t="s">
        <v>189</v>
      </c>
      <c r="Q11" s="89"/>
      <c r="R11" s="90" t="s">
        <v>188</v>
      </c>
      <c r="S11" s="91"/>
      <c r="T11" s="90" t="s">
        <v>103</v>
      </c>
      <c r="U11" s="89"/>
      <c r="V11" s="90" t="s">
        <v>208</v>
      </c>
      <c r="W11" s="89"/>
      <c r="X11" s="90" t="s">
        <v>207</v>
      </c>
      <c r="Y11" s="89"/>
      <c r="Z11" s="90" t="s">
        <v>187</v>
      </c>
      <c r="AA11" s="89"/>
      <c r="AB11" s="89"/>
      <c r="AC11" s="89"/>
      <c r="AD11" s="89"/>
      <c r="AE11" s="89"/>
      <c r="AF11" s="89"/>
      <c r="AG11" s="89"/>
      <c r="AH11" s="89"/>
      <c r="AI11" s="89"/>
    </row>
    <row r="12" spans="1:35" s="5" customFormat="1" ht="18.75">
      <c r="A12" s="21" t="s">
        <v>186</v>
      </c>
      <c r="B12" s="21"/>
      <c r="C12" s="21"/>
      <c r="D12" s="20">
        <v>1214499</v>
      </c>
      <c r="E12" s="20"/>
      <c r="F12" s="20">
        <v>5855970</v>
      </c>
      <c r="G12" s="20"/>
      <c r="H12" s="20">
        <v>305000</v>
      </c>
      <c r="I12" s="10"/>
      <c r="J12" s="20">
        <v>-10687</v>
      </c>
      <c r="K12" s="20"/>
      <c r="L12" s="20">
        <v>1980927</v>
      </c>
      <c r="M12" s="20"/>
      <c r="N12" s="20">
        <v>-44144</v>
      </c>
      <c r="O12" s="10"/>
      <c r="P12" s="20">
        <v>10921</v>
      </c>
      <c r="Q12" s="10"/>
      <c r="R12" s="20">
        <v>131226</v>
      </c>
      <c r="S12" s="20"/>
      <c r="T12" s="20">
        <v>4706958</v>
      </c>
      <c r="U12" s="20"/>
      <c r="V12" s="20">
        <f>SUM(D12:T12)</f>
        <v>14150670</v>
      </c>
      <c r="W12" s="20"/>
      <c r="X12" s="20">
        <v>596452</v>
      </c>
      <c r="Y12" s="20"/>
      <c r="Z12" s="20">
        <f>SUM(V12:X12)</f>
        <v>14747122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s="5" customFormat="1" ht="18.75">
      <c r="A13" s="5" t="s">
        <v>184</v>
      </c>
      <c r="B13" s="21"/>
      <c r="C13" s="21"/>
      <c r="D13" s="20"/>
      <c r="E13" s="20"/>
      <c r="F13" s="20"/>
      <c r="G13" s="20"/>
      <c r="H13" s="20"/>
      <c r="I13" s="10"/>
      <c r="J13" s="20"/>
      <c r="K13" s="20"/>
      <c r="L13" s="20"/>
      <c r="M13" s="20"/>
      <c r="N13" s="20"/>
      <c r="O13" s="10"/>
      <c r="P13" s="20"/>
      <c r="Q13" s="10"/>
      <c r="R13" s="20"/>
      <c r="S13" s="20"/>
      <c r="T13" s="20"/>
      <c r="U13" s="20"/>
      <c r="V13" s="20"/>
      <c r="W13" s="20"/>
      <c r="X13" s="20"/>
      <c r="Y13" s="20"/>
      <c r="Z13" s="20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5" customFormat="1" ht="18.75">
      <c r="A14" s="5" t="s">
        <v>182</v>
      </c>
      <c r="B14" s="84"/>
      <c r="D14" s="20" t="s">
        <v>100</v>
      </c>
      <c r="E14" s="20"/>
      <c r="F14" s="20" t="s">
        <v>100</v>
      </c>
      <c r="G14" s="20"/>
      <c r="H14" s="20" t="s">
        <v>100</v>
      </c>
      <c r="I14" s="10"/>
      <c r="J14" s="20">
        <f>P49</f>
        <v>-58</v>
      </c>
      <c r="K14" s="20"/>
      <c r="L14" s="20" t="s">
        <v>100</v>
      </c>
      <c r="M14" s="10"/>
      <c r="N14" s="20" t="s">
        <v>100</v>
      </c>
      <c r="O14" s="10"/>
      <c r="P14" s="20" t="s">
        <v>100</v>
      </c>
      <c r="Q14" s="10"/>
      <c r="R14" s="20" t="s">
        <v>100</v>
      </c>
      <c r="S14" s="20"/>
      <c r="T14" s="20" t="s">
        <v>100</v>
      </c>
      <c r="U14" s="20"/>
      <c r="V14" s="20">
        <f>SUM(D14:T14)</f>
        <v>-58</v>
      </c>
      <c r="W14" s="20"/>
      <c r="X14" s="20" t="s">
        <v>100</v>
      </c>
      <c r="Y14" s="20"/>
      <c r="Z14" s="20">
        <f>SUM(V14:X14)</f>
        <v>-58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s="5" customFormat="1" ht="18.75">
      <c r="A15" s="5" t="s">
        <v>206</v>
      </c>
      <c r="B15" s="84"/>
      <c r="D15" s="31" t="s">
        <v>100</v>
      </c>
      <c r="E15" s="20"/>
      <c r="F15" s="31" t="s">
        <v>100</v>
      </c>
      <c r="G15" s="20"/>
      <c r="H15" s="31" t="s">
        <v>100</v>
      </c>
      <c r="I15" s="10"/>
      <c r="J15" s="31" t="s">
        <v>100</v>
      </c>
      <c r="K15" s="20"/>
      <c r="L15" s="31" t="s">
        <v>100</v>
      </c>
      <c r="M15" s="10"/>
      <c r="N15" s="31">
        <v>-18031</v>
      </c>
      <c r="O15" s="10"/>
      <c r="P15" s="31" t="s">
        <v>100</v>
      </c>
      <c r="Q15" s="10"/>
      <c r="R15" s="31" t="s">
        <v>100</v>
      </c>
      <c r="S15" s="10"/>
      <c r="T15" s="31" t="s">
        <v>100</v>
      </c>
      <c r="U15" s="85"/>
      <c r="V15" s="31">
        <f>SUM(D15:T15)</f>
        <v>-18031</v>
      </c>
      <c r="W15" s="85"/>
      <c r="X15" s="31" t="s">
        <v>100</v>
      </c>
      <c r="Y15" s="85"/>
      <c r="Z15" s="31">
        <f>SUM(V15:X15)</f>
        <v>-18031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s="5" customFormat="1" ht="18.75">
      <c r="A16" s="5" t="s">
        <v>181</v>
      </c>
      <c r="B16" s="84"/>
      <c r="D16" s="20">
        <f>SUM(D14:D15)</f>
        <v>0</v>
      </c>
      <c r="E16" s="20"/>
      <c r="F16" s="20">
        <f>SUM(F14:F15)</f>
        <v>0</v>
      </c>
      <c r="G16" s="20"/>
      <c r="H16" s="20">
        <f>SUM(H14:H15)</f>
        <v>0</v>
      </c>
      <c r="I16" s="10"/>
      <c r="J16" s="20">
        <f>SUM(J14:J15)</f>
        <v>-58</v>
      </c>
      <c r="K16" s="20"/>
      <c r="L16" s="20">
        <f>SUM(L14:L15)</f>
        <v>0</v>
      </c>
      <c r="M16" s="10"/>
      <c r="N16" s="20">
        <f>SUM(N14:N15)</f>
        <v>-18031</v>
      </c>
      <c r="O16" s="10"/>
      <c r="P16" s="20">
        <f>SUM(P14:P15)</f>
        <v>0</v>
      </c>
      <c r="Q16" s="10"/>
      <c r="R16" s="20">
        <f>SUM(R14:R15)</f>
        <v>0</v>
      </c>
      <c r="S16" s="10"/>
      <c r="T16" s="20">
        <f>SUM(T14:T15)</f>
        <v>0</v>
      </c>
      <c r="U16" s="85"/>
      <c r="V16" s="20">
        <f>SUM(V14:V15)</f>
        <v>-18089</v>
      </c>
      <c r="W16" s="85"/>
      <c r="X16" s="20">
        <f>SUM(X14:X15)</f>
        <v>0</v>
      </c>
      <c r="Y16" s="85"/>
      <c r="Z16" s="20">
        <f>SUM(Z14:Z15)</f>
        <v>-18089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s="5" customFormat="1" ht="18.75">
      <c r="A17" s="5" t="s">
        <v>74</v>
      </c>
      <c r="B17" s="84"/>
      <c r="D17" s="31" t="s">
        <v>100</v>
      </c>
      <c r="E17" s="20"/>
      <c r="F17" s="31" t="s">
        <v>100</v>
      </c>
      <c r="G17" s="20"/>
      <c r="H17" s="31" t="s">
        <v>100</v>
      </c>
      <c r="I17" s="10"/>
      <c r="J17" s="31" t="s">
        <v>100</v>
      </c>
      <c r="K17" s="20"/>
      <c r="L17" s="31" t="s">
        <v>100</v>
      </c>
      <c r="M17" s="20"/>
      <c r="N17" s="31" t="s">
        <v>100</v>
      </c>
      <c r="O17" s="10"/>
      <c r="P17" s="31" t="s">
        <v>100</v>
      </c>
      <c r="Q17" s="10"/>
      <c r="R17" s="31" t="s">
        <v>100</v>
      </c>
      <c r="S17" s="20"/>
      <c r="T17" s="31">
        <f>'BS&amp;PL'!G220</f>
        <v>1069974</v>
      </c>
      <c r="U17" s="20"/>
      <c r="V17" s="31">
        <f>SUM(D17:T17)</f>
        <v>1069974</v>
      </c>
      <c r="W17" s="20"/>
      <c r="X17" s="31">
        <f>'BS&amp;PL'!G221</f>
        <v>37046</v>
      </c>
      <c r="Y17" s="20"/>
      <c r="Z17" s="31">
        <f>SUM(V17:X17)</f>
        <v>1107020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s="5" customFormat="1" ht="18.75">
      <c r="A18" s="5" t="s">
        <v>180</v>
      </c>
      <c r="B18" s="84"/>
      <c r="D18" s="20">
        <f>SUM(D16:D17)</f>
        <v>0</v>
      </c>
      <c r="E18" s="20"/>
      <c r="F18" s="20">
        <f>SUM(F16:F17)</f>
        <v>0</v>
      </c>
      <c r="G18" s="20"/>
      <c r="H18" s="20">
        <f>SUM(H16:H17)</f>
        <v>0</v>
      </c>
      <c r="I18" s="10"/>
      <c r="J18" s="20">
        <f>SUM(J16:J17)</f>
        <v>-58</v>
      </c>
      <c r="K18" s="20"/>
      <c r="L18" s="20">
        <f>SUM(L16:L17)</f>
        <v>0</v>
      </c>
      <c r="M18" s="20"/>
      <c r="N18" s="20">
        <f>SUM(N16:N17)</f>
        <v>-18031</v>
      </c>
      <c r="O18" s="10"/>
      <c r="P18" s="20">
        <f>SUM(P16:P17)</f>
        <v>0</v>
      </c>
      <c r="Q18" s="10"/>
      <c r="R18" s="20">
        <f>SUM(R16:R17)</f>
        <v>0</v>
      </c>
      <c r="S18" s="20"/>
      <c r="T18" s="20">
        <f>SUM(T16:T17)</f>
        <v>1069974</v>
      </c>
      <c r="U18" s="20"/>
      <c r="V18" s="20">
        <f>SUM(V16:V17)</f>
        <v>1051885</v>
      </c>
      <c r="W18" s="20"/>
      <c r="X18" s="20">
        <f>SUM(X16:X17)</f>
        <v>37046</v>
      </c>
      <c r="Y18" s="20"/>
      <c r="Z18" s="20">
        <f>SUM(Z16:Z17)</f>
        <v>1088931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s="5" customFormat="1" ht="18.75">
      <c r="A19" s="5" t="s">
        <v>225</v>
      </c>
      <c r="B19" s="84">
        <v>12</v>
      </c>
      <c r="D19" s="20">
        <v>0</v>
      </c>
      <c r="E19" s="20"/>
      <c r="F19" s="20">
        <v>0</v>
      </c>
      <c r="G19" s="20"/>
      <c r="H19" s="20">
        <v>0</v>
      </c>
      <c r="I19" s="10"/>
      <c r="J19" s="20">
        <v>0</v>
      </c>
      <c r="K19" s="20"/>
      <c r="L19" s="20">
        <v>0</v>
      </c>
      <c r="M19" s="20"/>
      <c r="N19" s="20">
        <v>0</v>
      </c>
      <c r="O19" s="10"/>
      <c r="P19" s="20">
        <v>0</v>
      </c>
      <c r="Q19" s="10"/>
      <c r="R19" s="20">
        <v>0</v>
      </c>
      <c r="S19" s="20"/>
      <c r="T19" s="20">
        <f>X53</f>
        <v>-850140</v>
      </c>
      <c r="U19" s="20"/>
      <c r="V19" s="20">
        <f>SUM(D19:T19)</f>
        <v>-850140</v>
      </c>
      <c r="W19" s="20"/>
      <c r="X19" s="20">
        <v>0</v>
      </c>
      <c r="Y19" s="20"/>
      <c r="Z19" s="20">
        <f>SUM(V19:X19)</f>
        <v>-850140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s="5" customFormat="1" ht="18.75">
      <c r="A20" s="5" t="s">
        <v>205</v>
      </c>
      <c r="D20" s="20" t="s">
        <v>100</v>
      </c>
      <c r="E20" s="20"/>
      <c r="F20" s="20" t="s">
        <v>100</v>
      </c>
      <c r="G20" s="20"/>
      <c r="H20" s="20" t="s">
        <v>100</v>
      </c>
      <c r="I20" s="10"/>
      <c r="J20" s="20" t="s">
        <v>100</v>
      </c>
      <c r="K20" s="20"/>
      <c r="L20" s="20" t="s">
        <v>100</v>
      </c>
      <c r="M20" s="10"/>
      <c r="N20" s="20" t="s">
        <v>100</v>
      </c>
      <c r="O20" s="10"/>
      <c r="P20" s="20" t="s">
        <v>100</v>
      </c>
      <c r="Q20" s="10"/>
      <c r="R20" s="20" t="s">
        <v>100</v>
      </c>
      <c r="S20" s="20"/>
      <c r="T20" s="20">
        <v>0</v>
      </c>
      <c r="U20" s="20"/>
      <c r="V20" s="20">
        <f>SUM(D20:T20)</f>
        <v>0</v>
      </c>
      <c r="W20" s="20"/>
      <c r="X20" s="85">
        <v>-27455</v>
      </c>
      <c r="Y20" s="85"/>
      <c r="Z20" s="20">
        <f>SUM(V20:X20)</f>
        <v>-27455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s="5" customFormat="1" ht="19.5" thickBot="1">
      <c r="A21" s="21" t="s">
        <v>221</v>
      </c>
      <c r="B21" s="21"/>
      <c r="C21" s="21"/>
      <c r="D21" s="82">
        <f>SUM(D12,D18:D20)</f>
        <v>1214499</v>
      </c>
      <c r="E21" s="20"/>
      <c r="F21" s="82">
        <f>SUM(F12,F18:F20)</f>
        <v>5855970</v>
      </c>
      <c r="G21" s="20"/>
      <c r="H21" s="82">
        <f>SUM(H12,H18:H20)</f>
        <v>305000</v>
      </c>
      <c r="I21" s="10"/>
      <c r="J21" s="82">
        <f>SUM(J12,J18:J20)</f>
        <v>-10745</v>
      </c>
      <c r="K21" s="20"/>
      <c r="L21" s="82">
        <f>SUM(L12,L18:L20)</f>
        <v>1980927</v>
      </c>
      <c r="M21" s="20"/>
      <c r="N21" s="82">
        <f>SUM(N12,N18:N20)</f>
        <v>-62175</v>
      </c>
      <c r="O21" s="10"/>
      <c r="P21" s="82">
        <f>SUM(P12,P18:P20)</f>
        <v>10921</v>
      </c>
      <c r="Q21" s="10"/>
      <c r="R21" s="82">
        <f>SUM(R12,R18:R20)</f>
        <v>131226</v>
      </c>
      <c r="S21" s="20"/>
      <c r="T21" s="82">
        <f>SUM(T12,T18:T20)</f>
        <v>4926792</v>
      </c>
      <c r="U21" s="20"/>
      <c r="V21" s="82">
        <f>SUM(V12,V18:V20)</f>
        <v>14352415</v>
      </c>
      <c r="W21" s="20"/>
      <c r="X21" s="82">
        <f>SUM(X12,X18:X20)</f>
        <v>606043</v>
      </c>
      <c r="Y21" s="20"/>
      <c r="Z21" s="82">
        <f>SUM(Z12,Z18:Z20)</f>
        <v>14958458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2:27" ht="19.5" customHeight="1" thickTop="1">
      <c r="B22" s="81"/>
      <c r="C22" s="81"/>
      <c r="AA22" s="96"/>
    </row>
    <row r="23" spans="1:35" s="5" customFormat="1" ht="18.75">
      <c r="A23" s="21" t="s">
        <v>185</v>
      </c>
      <c r="B23" s="21"/>
      <c r="C23" s="21"/>
      <c r="D23" s="20">
        <v>1214499</v>
      </c>
      <c r="E23" s="20"/>
      <c r="F23" s="20">
        <v>5843475</v>
      </c>
      <c r="G23" s="20"/>
      <c r="H23" s="20">
        <v>305000</v>
      </c>
      <c r="I23" s="10"/>
      <c r="J23" s="20">
        <v>-11257</v>
      </c>
      <c r="K23" s="20"/>
      <c r="L23" s="20">
        <v>1206976</v>
      </c>
      <c r="M23" s="20"/>
      <c r="N23" s="20">
        <v>-10895</v>
      </c>
      <c r="O23" s="10"/>
      <c r="P23" s="20">
        <v>23416</v>
      </c>
      <c r="Q23" s="10"/>
      <c r="R23" s="20">
        <v>131226</v>
      </c>
      <c r="S23" s="20"/>
      <c r="T23" s="20">
        <v>3710469</v>
      </c>
      <c r="U23" s="20"/>
      <c r="V23" s="20">
        <f>SUM(D23:T23)</f>
        <v>12412909</v>
      </c>
      <c r="W23" s="20"/>
      <c r="X23" s="20">
        <v>575065</v>
      </c>
      <c r="Y23" s="20"/>
      <c r="Z23" s="20">
        <f>SUM(V23:X23)</f>
        <v>12987974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s="5" customFormat="1" ht="18.75">
      <c r="A24" s="5" t="s">
        <v>184</v>
      </c>
      <c r="B24" s="21"/>
      <c r="C24" s="21"/>
      <c r="D24" s="20"/>
      <c r="E24" s="20"/>
      <c r="F24" s="20"/>
      <c r="G24" s="20"/>
      <c r="H24" s="20"/>
      <c r="I24" s="10"/>
      <c r="J24" s="20"/>
      <c r="K24" s="20"/>
      <c r="L24" s="20"/>
      <c r="M24" s="20"/>
      <c r="N24" s="20"/>
      <c r="O24" s="10"/>
      <c r="P24" s="20"/>
      <c r="Q24" s="10"/>
      <c r="R24" s="20"/>
      <c r="S24" s="20"/>
      <c r="T24" s="20"/>
      <c r="U24" s="20"/>
      <c r="V24" s="20"/>
      <c r="W24" s="20"/>
      <c r="X24" s="20"/>
      <c r="Y24" s="20"/>
      <c r="Z24" s="20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5" customFormat="1" ht="18.75">
      <c r="A25" s="5" t="s">
        <v>183</v>
      </c>
      <c r="B25" s="84">
        <v>10</v>
      </c>
      <c r="D25" s="20">
        <v>0</v>
      </c>
      <c r="E25" s="20"/>
      <c r="F25" s="20">
        <v>807</v>
      </c>
      <c r="G25" s="20"/>
      <c r="H25" s="20" t="s">
        <v>100</v>
      </c>
      <c r="I25" s="10"/>
      <c r="J25" s="20" t="s">
        <v>100</v>
      </c>
      <c r="K25" s="20"/>
      <c r="L25" s="20" t="s">
        <v>100</v>
      </c>
      <c r="M25" s="10"/>
      <c r="N25" s="20" t="s">
        <v>100</v>
      </c>
      <c r="O25" s="10"/>
      <c r="P25" s="20">
        <f>-F25</f>
        <v>-807</v>
      </c>
      <c r="Q25" s="10"/>
      <c r="R25" s="20" t="s">
        <v>100</v>
      </c>
      <c r="S25" s="20"/>
      <c r="T25" s="20" t="s">
        <v>100</v>
      </c>
      <c r="U25" s="20"/>
      <c r="V25" s="20">
        <f>SUM(D25:T25)</f>
        <v>0</v>
      </c>
      <c r="W25" s="20"/>
      <c r="X25" s="20" t="s">
        <v>100</v>
      </c>
      <c r="Y25" s="20"/>
      <c r="Z25" s="20">
        <f>SUM(V25:X25)</f>
        <v>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s="5" customFormat="1" ht="18.75">
      <c r="A26" s="5" t="s">
        <v>182</v>
      </c>
      <c r="B26" s="84"/>
      <c r="D26" s="20" t="s">
        <v>100</v>
      </c>
      <c r="E26" s="20"/>
      <c r="F26" s="20" t="s">
        <v>100</v>
      </c>
      <c r="G26" s="20"/>
      <c r="H26" s="20" t="s">
        <v>100</v>
      </c>
      <c r="I26" s="10"/>
      <c r="J26" s="20">
        <v>267</v>
      </c>
      <c r="K26" s="20"/>
      <c r="L26" s="20" t="s">
        <v>100</v>
      </c>
      <c r="M26" s="10"/>
      <c r="N26" s="20" t="s">
        <v>100</v>
      </c>
      <c r="O26" s="10"/>
      <c r="P26" s="20" t="s">
        <v>100</v>
      </c>
      <c r="Q26" s="10"/>
      <c r="R26" s="20" t="s">
        <v>100</v>
      </c>
      <c r="S26" s="20"/>
      <c r="T26" s="20" t="s">
        <v>100</v>
      </c>
      <c r="U26" s="20"/>
      <c r="V26" s="20">
        <f>SUM(D26:T26)</f>
        <v>267</v>
      </c>
      <c r="W26" s="20"/>
      <c r="X26" s="20" t="s">
        <v>100</v>
      </c>
      <c r="Y26" s="20"/>
      <c r="Z26" s="20">
        <f>SUM(V26:X26)</f>
        <v>267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s="5" customFormat="1" ht="18.75">
      <c r="A27" s="5" t="s">
        <v>206</v>
      </c>
      <c r="B27" s="84"/>
      <c r="D27" s="31" t="s">
        <v>100</v>
      </c>
      <c r="E27" s="20"/>
      <c r="F27" s="31" t="s">
        <v>100</v>
      </c>
      <c r="G27" s="20"/>
      <c r="H27" s="31" t="s">
        <v>100</v>
      </c>
      <c r="I27" s="10"/>
      <c r="J27" s="31" t="s">
        <v>100</v>
      </c>
      <c r="K27" s="20"/>
      <c r="L27" s="31" t="s">
        <v>100</v>
      </c>
      <c r="M27" s="10"/>
      <c r="N27" s="31">
        <v>-19967</v>
      </c>
      <c r="O27" s="10"/>
      <c r="P27" s="31" t="s">
        <v>100</v>
      </c>
      <c r="Q27" s="10"/>
      <c r="R27" s="31" t="s">
        <v>100</v>
      </c>
      <c r="S27" s="10"/>
      <c r="T27" s="31" t="s">
        <v>100</v>
      </c>
      <c r="U27" s="85"/>
      <c r="V27" s="31">
        <f>SUM(D27:T27)</f>
        <v>-19967</v>
      </c>
      <c r="W27" s="85"/>
      <c r="X27" s="31" t="s">
        <v>100</v>
      </c>
      <c r="Y27" s="85"/>
      <c r="Z27" s="31">
        <f>SUM(V27:X27)</f>
        <v>-19967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s="5" customFormat="1" ht="18.75">
      <c r="A28" s="5" t="s">
        <v>181</v>
      </c>
      <c r="B28" s="84"/>
      <c r="D28" s="20">
        <f>SUM(D25:D27)</f>
        <v>0</v>
      </c>
      <c r="E28" s="20"/>
      <c r="F28" s="20">
        <f>SUM(F25:F27)</f>
        <v>807</v>
      </c>
      <c r="G28" s="20"/>
      <c r="H28" s="20">
        <f>SUM(H25:H27)</f>
        <v>0</v>
      </c>
      <c r="I28" s="10"/>
      <c r="J28" s="20">
        <f>SUM(J25:J27)</f>
        <v>267</v>
      </c>
      <c r="K28" s="20"/>
      <c r="L28" s="20">
        <f>SUM(L25:L27)</f>
        <v>0</v>
      </c>
      <c r="M28" s="10"/>
      <c r="N28" s="20">
        <f>SUM(N25:N27)</f>
        <v>-19967</v>
      </c>
      <c r="O28" s="10"/>
      <c r="P28" s="20">
        <f>SUM(P25:P27)</f>
        <v>-807</v>
      </c>
      <c r="Q28" s="10"/>
      <c r="R28" s="20">
        <f>SUM(R25:R27)</f>
        <v>0</v>
      </c>
      <c r="S28" s="10"/>
      <c r="T28" s="20">
        <f>SUM(T25:T27)</f>
        <v>0</v>
      </c>
      <c r="U28" s="85"/>
      <c r="V28" s="20">
        <f>SUM(V25:V27)</f>
        <v>-19700</v>
      </c>
      <c r="W28" s="85"/>
      <c r="X28" s="20">
        <f>SUM(X25:X27)</f>
        <v>0</v>
      </c>
      <c r="Y28" s="85"/>
      <c r="Z28" s="20">
        <f>SUM(Z25:Z27)</f>
        <v>-19700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s="5" customFormat="1" ht="18.75">
      <c r="A29" s="5" t="s">
        <v>74</v>
      </c>
      <c r="B29" s="84"/>
      <c r="D29" s="31" t="s">
        <v>100</v>
      </c>
      <c r="E29" s="20"/>
      <c r="F29" s="31" t="s">
        <v>100</v>
      </c>
      <c r="G29" s="20"/>
      <c r="H29" s="31" t="s">
        <v>100</v>
      </c>
      <c r="I29" s="10"/>
      <c r="J29" s="31" t="s">
        <v>100</v>
      </c>
      <c r="K29" s="20"/>
      <c r="L29" s="31" t="s">
        <v>100</v>
      </c>
      <c r="M29" s="20"/>
      <c r="N29" s="31" t="s">
        <v>100</v>
      </c>
      <c r="O29" s="10"/>
      <c r="P29" s="31" t="s">
        <v>100</v>
      </c>
      <c r="Q29" s="10"/>
      <c r="R29" s="31" t="s">
        <v>100</v>
      </c>
      <c r="S29" s="20"/>
      <c r="T29" s="31">
        <f>'BS&amp;PL'!I220</f>
        <v>746162</v>
      </c>
      <c r="U29" s="20"/>
      <c r="V29" s="31">
        <f>SUM(D29:T29)</f>
        <v>746162</v>
      </c>
      <c r="W29" s="20"/>
      <c r="X29" s="31">
        <f>'BS&amp;PL'!I221</f>
        <v>22036</v>
      </c>
      <c r="Y29" s="20"/>
      <c r="Z29" s="31">
        <f>SUM(V29:X29)</f>
        <v>768198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s="5" customFormat="1" ht="18.75">
      <c r="A30" s="5" t="s">
        <v>180</v>
      </c>
      <c r="B30" s="84"/>
      <c r="D30" s="20">
        <f>SUM(D28:D29)</f>
        <v>0</v>
      </c>
      <c r="E30" s="20"/>
      <c r="F30" s="20">
        <f>SUM(F28:F29)</f>
        <v>807</v>
      </c>
      <c r="G30" s="20"/>
      <c r="H30" s="20">
        <f>SUM(H28:H29)</f>
        <v>0</v>
      </c>
      <c r="I30" s="10"/>
      <c r="J30" s="20">
        <f>SUM(J28:J29)</f>
        <v>267</v>
      </c>
      <c r="K30" s="20"/>
      <c r="L30" s="20">
        <f>SUM(L28:L29)</f>
        <v>0</v>
      </c>
      <c r="M30" s="20"/>
      <c r="N30" s="20">
        <f>SUM(N28:N29)</f>
        <v>-19967</v>
      </c>
      <c r="O30" s="10"/>
      <c r="P30" s="20">
        <f>SUM(P28:P29)</f>
        <v>-807</v>
      </c>
      <c r="Q30" s="10"/>
      <c r="R30" s="20">
        <f>SUM(R28:R29)</f>
        <v>0</v>
      </c>
      <c r="S30" s="20"/>
      <c r="T30" s="20">
        <f>SUM(T28:T29)</f>
        <v>746162</v>
      </c>
      <c r="U30" s="20"/>
      <c r="V30" s="20">
        <f>SUM(V28:V29)</f>
        <v>726462</v>
      </c>
      <c r="W30" s="20"/>
      <c r="X30" s="20">
        <f>SUM(X28:X29)</f>
        <v>22036</v>
      </c>
      <c r="Y30" s="20"/>
      <c r="Z30" s="20">
        <f>SUM(Z28:Z29)</f>
        <v>748498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s="11" customFormat="1" ht="18.75">
      <c r="A31" s="11" t="s">
        <v>225</v>
      </c>
      <c r="B31" s="37">
        <v>12</v>
      </c>
      <c r="D31" s="14">
        <v>0</v>
      </c>
      <c r="E31" s="14"/>
      <c r="F31" s="14">
        <v>0</v>
      </c>
      <c r="G31" s="14"/>
      <c r="H31" s="14" t="s">
        <v>100</v>
      </c>
      <c r="I31" s="14"/>
      <c r="J31" s="14" t="s">
        <v>100</v>
      </c>
      <c r="K31" s="9"/>
      <c r="L31" s="14" t="s">
        <v>100</v>
      </c>
      <c r="M31" s="9"/>
      <c r="N31" s="14" t="s">
        <v>100</v>
      </c>
      <c r="O31" s="9"/>
      <c r="P31" s="14">
        <v>0</v>
      </c>
      <c r="Q31" s="9"/>
      <c r="R31" s="14" t="s">
        <v>100</v>
      </c>
      <c r="S31" s="14"/>
      <c r="T31" s="14">
        <f>X63</f>
        <v>-728694</v>
      </c>
      <c r="U31" s="14"/>
      <c r="V31" s="14">
        <f>SUM(D31:T31)</f>
        <v>-728694</v>
      </c>
      <c r="W31" s="14"/>
      <c r="X31" s="14">
        <v>0</v>
      </c>
      <c r="Y31" s="14"/>
      <c r="Z31" s="14">
        <f>SUM(V31:X31)</f>
        <v>-728694</v>
      </c>
      <c r="AA31" s="102"/>
      <c r="AB31" s="102"/>
      <c r="AD31" s="102"/>
      <c r="AE31" s="102"/>
      <c r="AF31" s="102"/>
      <c r="AG31" s="102"/>
      <c r="AH31" s="102"/>
      <c r="AI31" s="102"/>
    </row>
    <row r="32" spans="1:35" s="5" customFormat="1" ht="18.75">
      <c r="A32" s="5" t="s">
        <v>205</v>
      </c>
      <c r="D32" s="20" t="s">
        <v>100</v>
      </c>
      <c r="E32" s="20"/>
      <c r="F32" s="20" t="s">
        <v>100</v>
      </c>
      <c r="G32" s="20"/>
      <c r="H32" s="20" t="s">
        <v>100</v>
      </c>
      <c r="I32" s="10"/>
      <c r="J32" s="20" t="s">
        <v>100</v>
      </c>
      <c r="K32" s="20"/>
      <c r="L32" s="20" t="s">
        <v>100</v>
      </c>
      <c r="M32" s="10"/>
      <c r="N32" s="20" t="s">
        <v>100</v>
      </c>
      <c r="O32" s="10"/>
      <c r="P32" s="20" t="s">
        <v>100</v>
      </c>
      <c r="Q32" s="10"/>
      <c r="R32" s="20" t="s">
        <v>100</v>
      </c>
      <c r="S32" s="20"/>
      <c r="T32" s="20">
        <v>0</v>
      </c>
      <c r="U32" s="20"/>
      <c r="V32" s="20">
        <f>SUM(D32:T32)</f>
        <v>0</v>
      </c>
      <c r="W32" s="20"/>
      <c r="X32" s="85">
        <v>-72726</v>
      </c>
      <c r="Y32" s="85"/>
      <c r="Z32" s="20">
        <f>SUM(V32:X32)</f>
        <v>-72726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s="5" customFormat="1" ht="19.5" thickBot="1">
      <c r="A33" s="21" t="s">
        <v>222</v>
      </c>
      <c r="B33" s="21"/>
      <c r="C33" s="21"/>
      <c r="D33" s="82">
        <f>SUM(D23,D30:D32)</f>
        <v>1214499</v>
      </c>
      <c r="E33" s="20"/>
      <c r="F33" s="82">
        <f>SUM(F23,F30:F32)</f>
        <v>5844282</v>
      </c>
      <c r="G33" s="20"/>
      <c r="H33" s="82">
        <f>SUM(H23,H30:H32)</f>
        <v>305000</v>
      </c>
      <c r="I33" s="10"/>
      <c r="J33" s="82">
        <f>SUM(J23,J30:J32)</f>
        <v>-10990</v>
      </c>
      <c r="K33" s="20"/>
      <c r="L33" s="82">
        <f>SUM(L23,L30:L32)</f>
        <v>1206976</v>
      </c>
      <c r="M33" s="20"/>
      <c r="N33" s="82">
        <f>SUM(N23,N30:N32)</f>
        <v>-30862</v>
      </c>
      <c r="O33" s="10"/>
      <c r="P33" s="82">
        <f>SUM(P23,P30:P32)</f>
        <v>22609</v>
      </c>
      <c r="Q33" s="10"/>
      <c r="R33" s="82">
        <f>SUM(R23,R30:R32)</f>
        <v>131226</v>
      </c>
      <c r="S33" s="20"/>
      <c r="T33" s="82">
        <f>SUM(T23,T30:T32)</f>
        <v>3727937</v>
      </c>
      <c r="U33" s="20"/>
      <c r="V33" s="82">
        <f>SUM(V23,V30:V32)</f>
        <v>12410677</v>
      </c>
      <c r="W33" s="20"/>
      <c r="X33" s="82">
        <f>SUM(X23,X30:X32)</f>
        <v>524375</v>
      </c>
      <c r="Y33" s="20"/>
      <c r="Z33" s="82">
        <f>SUM(Z23,Z30:Z32)</f>
        <v>12935052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2:27" ht="3.75" customHeight="1" thickTop="1">
      <c r="B34" s="81"/>
      <c r="C34" s="81"/>
      <c r="AA34" s="96"/>
    </row>
    <row r="35" spans="1:27" ht="18.75">
      <c r="A35" s="5" t="s">
        <v>0</v>
      </c>
      <c r="B35" s="81"/>
      <c r="C35" s="81"/>
      <c r="AA35" s="96"/>
    </row>
    <row r="36" spans="1:27" ht="26.25">
      <c r="A36" s="112">
        <v>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96"/>
    </row>
    <row r="37" ht="18.75">
      <c r="Z37" s="27" t="s">
        <v>29</v>
      </c>
    </row>
    <row r="38" spans="1:26" ht="18.75">
      <c r="A38" s="99" t="s">
        <v>28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18.75">
      <c r="A39" s="99" t="s">
        <v>204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18.75">
      <c r="A40" s="100" t="s">
        <v>224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4:35" s="97" customFormat="1" ht="18.75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8" t="s">
        <v>26</v>
      </c>
      <c r="AA41" s="96"/>
      <c r="AB41" s="96"/>
      <c r="AC41" s="96"/>
      <c r="AD41" s="96"/>
      <c r="AE41" s="96"/>
      <c r="AF41" s="96"/>
      <c r="AG41" s="96"/>
      <c r="AH41" s="96"/>
      <c r="AI41" s="96"/>
    </row>
    <row r="42" spans="8:35" s="88" customFormat="1" ht="18.75">
      <c r="H42" s="96"/>
      <c r="I42" s="96"/>
      <c r="J42" s="96"/>
      <c r="K42" s="96"/>
      <c r="L42" s="109" t="s">
        <v>24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89"/>
      <c r="AB42" s="89"/>
      <c r="AC42" s="89"/>
      <c r="AD42" s="89"/>
      <c r="AE42" s="89"/>
      <c r="AF42" s="89"/>
      <c r="AG42" s="89"/>
      <c r="AH42" s="89"/>
      <c r="AI42" s="89"/>
    </row>
    <row r="43" spans="10:35" s="88" customFormat="1" ht="18.75">
      <c r="J43" s="89"/>
      <c r="K43" s="89"/>
      <c r="L43" s="91"/>
      <c r="M43" s="91"/>
      <c r="N43" s="95"/>
      <c r="O43" s="95"/>
      <c r="P43" s="89"/>
      <c r="Q43" s="95"/>
      <c r="R43" s="95"/>
      <c r="S43" s="89"/>
      <c r="T43" s="89" t="s">
        <v>130</v>
      </c>
      <c r="U43" s="91"/>
      <c r="V43" s="90"/>
      <c r="W43" s="90" t="s">
        <v>105</v>
      </c>
      <c r="X43" s="90"/>
      <c r="Y43" s="91"/>
      <c r="Z43" s="91"/>
      <c r="AA43" s="89"/>
      <c r="AB43" s="89"/>
      <c r="AC43" s="89"/>
      <c r="AD43" s="89"/>
      <c r="AE43" s="89"/>
      <c r="AF43" s="89"/>
      <c r="AG43" s="89"/>
      <c r="AH43" s="89"/>
      <c r="AI43" s="89"/>
    </row>
    <row r="44" spans="10:35" s="88" customFormat="1" ht="18.75">
      <c r="J44" s="89"/>
      <c r="K44" s="89"/>
      <c r="L44" s="89" t="s">
        <v>118</v>
      </c>
      <c r="M44" s="89"/>
      <c r="N44" s="89"/>
      <c r="O44" s="89"/>
      <c r="P44" s="94" t="s">
        <v>203</v>
      </c>
      <c r="Q44" s="89"/>
      <c r="R44" s="89" t="s">
        <v>202</v>
      </c>
      <c r="T44" s="89" t="s">
        <v>201</v>
      </c>
      <c r="U44" s="89"/>
      <c r="V44" s="89" t="s">
        <v>200</v>
      </c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0:35" s="88" customFormat="1" ht="18.75">
      <c r="J45" s="89"/>
      <c r="K45" s="89"/>
      <c r="L45" s="89" t="s">
        <v>199</v>
      </c>
      <c r="M45" s="89"/>
      <c r="N45" s="89" t="s">
        <v>198</v>
      </c>
      <c r="O45" s="89"/>
      <c r="P45" s="94" t="s">
        <v>197</v>
      </c>
      <c r="Q45" s="89"/>
      <c r="R45" s="89" t="s">
        <v>196</v>
      </c>
      <c r="S45" s="89"/>
      <c r="T45" s="89" t="s">
        <v>195</v>
      </c>
      <c r="U45" s="89"/>
      <c r="V45" s="89" t="s">
        <v>194</v>
      </c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</row>
    <row r="46" spans="10:35" s="88" customFormat="1" ht="18.75">
      <c r="J46" s="93" t="s">
        <v>93</v>
      </c>
      <c r="K46" s="89"/>
      <c r="L46" s="90" t="s">
        <v>193</v>
      </c>
      <c r="M46" s="89"/>
      <c r="N46" s="90" t="s">
        <v>192</v>
      </c>
      <c r="O46" s="89"/>
      <c r="P46" s="92" t="s">
        <v>191</v>
      </c>
      <c r="Q46" s="89"/>
      <c r="R46" s="90" t="s">
        <v>190</v>
      </c>
      <c r="S46" s="91"/>
      <c r="T46" s="90" t="s">
        <v>189</v>
      </c>
      <c r="U46" s="89"/>
      <c r="V46" s="90" t="s">
        <v>188</v>
      </c>
      <c r="W46" s="91"/>
      <c r="X46" s="90" t="s">
        <v>103</v>
      </c>
      <c r="Y46" s="89"/>
      <c r="Z46" s="90" t="s">
        <v>187</v>
      </c>
      <c r="AA46" s="89"/>
      <c r="AB46" s="89"/>
      <c r="AC46" s="89"/>
      <c r="AD46" s="89"/>
      <c r="AE46" s="89"/>
      <c r="AF46" s="89"/>
      <c r="AG46" s="89"/>
      <c r="AH46" s="89"/>
      <c r="AI46" s="89"/>
    </row>
    <row r="47" spans="1:35" s="5" customFormat="1" ht="18.75">
      <c r="A47" s="21" t="s">
        <v>186</v>
      </c>
      <c r="B47" s="21"/>
      <c r="C47" s="21"/>
      <c r="J47" s="83"/>
      <c r="K47" s="83"/>
      <c r="L47" s="20">
        <v>1214499</v>
      </c>
      <c r="M47" s="20"/>
      <c r="N47" s="20">
        <v>5793046</v>
      </c>
      <c r="O47" s="20"/>
      <c r="P47" s="20">
        <v>-222</v>
      </c>
      <c r="Q47" s="20"/>
      <c r="R47" s="20">
        <v>728482</v>
      </c>
      <c r="S47" s="10"/>
      <c r="T47" s="20">
        <v>10921</v>
      </c>
      <c r="U47" s="10"/>
      <c r="V47" s="20">
        <v>131226</v>
      </c>
      <c r="W47" s="20"/>
      <c r="X47" s="20">
        <v>1031096</v>
      </c>
      <c r="Y47" s="10"/>
      <c r="Z47" s="20">
        <f>SUM(L47:X47)</f>
        <v>8909048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s="5" customFormat="1" ht="18.75">
      <c r="A48" s="5" t="s">
        <v>184</v>
      </c>
      <c r="B48" s="21"/>
      <c r="C48" s="21"/>
      <c r="J48" s="83"/>
      <c r="K48" s="83"/>
      <c r="L48" s="20"/>
      <c r="M48" s="20"/>
      <c r="N48" s="20"/>
      <c r="O48" s="20"/>
      <c r="P48" s="20"/>
      <c r="Q48" s="20"/>
      <c r="R48" s="20"/>
      <c r="S48" s="10"/>
      <c r="T48" s="20"/>
      <c r="U48" s="10"/>
      <c r="V48" s="20"/>
      <c r="W48" s="20"/>
      <c r="X48" s="20"/>
      <c r="Y48" s="10"/>
      <c r="Z48" s="20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5" customFormat="1" ht="18.75">
      <c r="A49" s="5" t="s">
        <v>182</v>
      </c>
      <c r="J49" s="7"/>
      <c r="K49" s="83"/>
      <c r="L49" s="31" t="s">
        <v>100</v>
      </c>
      <c r="M49" s="20"/>
      <c r="N49" s="31">
        <v>0</v>
      </c>
      <c r="O49" s="20"/>
      <c r="P49" s="31">
        <v>-58</v>
      </c>
      <c r="Q49" s="20"/>
      <c r="R49" s="31" t="s">
        <v>100</v>
      </c>
      <c r="S49" s="10"/>
      <c r="T49" s="31">
        <v>0</v>
      </c>
      <c r="U49" s="10"/>
      <c r="V49" s="31" t="s">
        <v>100</v>
      </c>
      <c r="W49" s="20"/>
      <c r="X49" s="31">
        <v>0</v>
      </c>
      <c r="Y49" s="10"/>
      <c r="Z49" s="31">
        <f>SUM(L49:X49)</f>
        <v>-58</v>
      </c>
      <c r="AA49" s="7"/>
      <c r="AB49" s="7"/>
      <c r="AC49" s="7"/>
      <c r="AD49" s="7"/>
      <c r="AE49" s="7"/>
      <c r="AF49" s="7"/>
      <c r="AG49" s="7"/>
      <c r="AH49" s="7"/>
      <c r="AI49" s="7"/>
    </row>
    <row r="50" spans="1:35" s="5" customFormat="1" ht="18.75">
      <c r="A50" s="5" t="s">
        <v>181</v>
      </c>
      <c r="J50" s="87"/>
      <c r="K50" s="7"/>
      <c r="L50" s="20">
        <f>SUM(L49:L49)</f>
        <v>0</v>
      </c>
      <c r="M50" s="20"/>
      <c r="N50" s="20">
        <f>SUM(N49:N49)</f>
        <v>0</v>
      </c>
      <c r="O50" s="20"/>
      <c r="P50" s="20">
        <f>SUM(P49:P49)</f>
        <v>-58</v>
      </c>
      <c r="Q50" s="20"/>
      <c r="R50" s="20">
        <f>SUM(R49:R49)</f>
        <v>0</v>
      </c>
      <c r="S50" s="10"/>
      <c r="T50" s="20">
        <f>SUM(T49:T49)</f>
        <v>0</v>
      </c>
      <c r="U50" s="10"/>
      <c r="V50" s="20">
        <f>SUM(V49:V49)</f>
        <v>0</v>
      </c>
      <c r="W50" s="20"/>
      <c r="X50" s="20">
        <f>SUM(X49:X49)</f>
        <v>0</v>
      </c>
      <c r="Y50" s="10"/>
      <c r="Z50" s="20">
        <f>SUM(Z49:Z49)</f>
        <v>-58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s="5" customFormat="1" ht="18.75">
      <c r="A51" s="5" t="s">
        <v>74</v>
      </c>
      <c r="J51" s="86"/>
      <c r="K51" s="83"/>
      <c r="L51" s="31" t="s">
        <v>100</v>
      </c>
      <c r="M51" s="20"/>
      <c r="N51" s="31" t="s">
        <v>100</v>
      </c>
      <c r="O51" s="85"/>
      <c r="P51" s="31" t="s">
        <v>100</v>
      </c>
      <c r="Q51" s="85"/>
      <c r="R51" s="31" t="s">
        <v>100</v>
      </c>
      <c r="S51" s="10"/>
      <c r="T51" s="31" t="s">
        <v>100</v>
      </c>
      <c r="U51" s="10"/>
      <c r="V51" s="31" t="s">
        <v>100</v>
      </c>
      <c r="W51" s="85"/>
      <c r="X51" s="31">
        <f>'BS&amp;PL'!K220</f>
        <v>691113</v>
      </c>
      <c r="Y51" s="10"/>
      <c r="Z51" s="31">
        <f>SUM(L51:X51)</f>
        <v>691113</v>
      </c>
      <c r="AA51" s="7"/>
      <c r="AB51" s="7"/>
      <c r="AC51" s="7"/>
      <c r="AD51" s="7"/>
      <c r="AE51" s="7"/>
      <c r="AF51" s="7"/>
      <c r="AG51" s="7"/>
      <c r="AH51" s="7"/>
      <c r="AI51" s="7"/>
    </row>
    <row r="52" spans="1:35" s="5" customFormat="1" ht="18.75">
      <c r="A52" s="5" t="s">
        <v>180</v>
      </c>
      <c r="B52" s="84"/>
      <c r="D52" s="20"/>
      <c r="E52" s="20"/>
      <c r="F52" s="20"/>
      <c r="G52" s="20"/>
      <c r="H52" s="20"/>
      <c r="I52" s="10"/>
      <c r="J52" s="20"/>
      <c r="K52" s="20"/>
      <c r="L52" s="20">
        <f>SUM(L50:L51)</f>
        <v>0</v>
      </c>
      <c r="M52" s="20"/>
      <c r="N52" s="20">
        <f>SUM(N50:N51)</f>
        <v>0</v>
      </c>
      <c r="O52" s="10"/>
      <c r="P52" s="20">
        <f>SUM(P50:P51)</f>
        <v>-58</v>
      </c>
      <c r="Q52" s="10"/>
      <c r="R52" s="20">
        <f>SUM(R50:R51)</f>
        <v>0</v>
      </c>
      <c r="S52" s="20"/>
      <c r="T52" s="20">
        <f>SUM(T50:T51)</f>
        <v>0</v>
      </c>
      <c r="U52" s="20"/>
      <c r="V52" s="20">
        <f>SUM(V50:V51)</f>
        <v>0</v>
      </c>
      <c r="W52" s="20"/>
      <c r="X52" s="20">
        <f>SUM(X50:X51)</f>
        <v>691113</v>
      </c>
      <c r="Y52" s="20"/>
      <c r="Z52" s="20">
        <f>SUM(Z50:Z51)</f>
        <v>691055</v>
      </c>
      <c r="AA52" s="7"/>
      <c r="AB52" s="7"/>
      <c r="AC52" s="7"/>
      <c r="AD52" s="7"/>
      <c r="AE52" s="7"/>
      <c r="AF52" s="7"/>
      <c r="AG52" s="7"/>
      <c r="AH52" s="7"/>
      <c r="AI52" s="7"/>
    </row>
    <row r="53" spans="1:35" s="5" customFormat="1" ht="18.75">
      <c r="A53" s="5" t="s">
        <v>225</v>
      </c>
      <c r="D53" s="20"/>
      <c r="E53" s="20"/>
      <c r="F53" s="20"/>
      <c r="G53" s="20"/>
      <c r="H53" s="20"/>
      <c r="I53" s="10"/>
      <c r="J53" s="84">
        <v>12</v>
      </c>
      <c r="K53" s="20"/>
      <c r="L53" s="20">
        <v>0</v>
      </c>
      <c r="M53" s="20"/>
      <c r="N53" s="20">
        <v>0</v>
      </c>
      <c r="O53" s="10"/>
      <c r="P53" s="20">
        <v>0</v>
      </c>
      <c r="Q53" s="10"/>
      <c r="R53" s="20">
        <v>0</v>
      </c>
      <c r="S53" s="20"/>
      <c r="T53" s="20">
        <v>0</v>
      </c>
      <c r="U53" s="20"/>
      <c r="V53" s="20">
        <v>0</v>
      </c>
      <c r="W53" s="20"/>
      <c r="X53" s="20">
        <v>-850140</v>
      </c>
      <c r="Y53" s="20"/>
      <c r="Z53" s="20">
        <f>SUM(L53:X53)</f>
        <v>-850140</v>
      </c>
      <c r="AA53" s="7"/>
      <c r="AB53" s="7"/>
      <c r="AC53" s="7"/>
      <c r="AD53" s="7"/>
      <c r="AE53" s="7"/>
      <c r="AF53" s="7"/>
      <c r="AG53" s="7"/>
      <c r="AH53" s="7"/>
      <c r="AI53" s="7"/>
    </row>
    <row r="54" spans="1:35" s="5" customFormat="1" ht="19.5" thickBot="1">
      <c r="A54" s="21" t="s">
        <v>221</v>
      </c>
      <c r="B54" s="21"/>
      <c r="C54" s="21"/>
      <c r="J54" s="83"/>
      <c r="K54" s="83"/>
      <c r="L54" s="82">
        <f>SUM(L47,L52:L53)</f>
        <v>1214499</v>
      </c>
      <c r="M54" s="20"/>
      <c r="N54" s="82">
        <f>SUM(N47,N52:N53)</f>
        <v>5793046</v>
      </c>
      <c r="O54" s="20"/>
      <c r="P54" s="82">
        <f>SUM(P47,P52:P53)</f>
        <v>-280</v>
      </c>
      <c r="Q54" s="20"/>
      <c r="R54" s="82">
        <f>SUM(R47,R52:R53)</f>
        <v>728482</v>
      </c>
      <c r="S54" s="10"/>
      <c r="T54" s="82">
        <f>SUM(T47,T52:T53)</f>
        <v>10921</v>
      </c>
      <c r="U54" s="10"/>
      <c r="V54" s="82">
        <f>SUM(V47,V52:V53)</f>
        <v>131226</v>
      </c>
      <c r="W54" s="20"/>
      <c r="X54" s="82">
        <f>SUM(X47,X52:X53)</f>
        <v>872069</v>
      </c>
      <c r="Y54" s="10"/>
      <c r="Z54" s="82">
        <f>SUM(Z47,Z52:Z53)</f>
        <v>8749963</v>
      </c>
      <c r="AA54" s="7"/>
      <c r="AB54" s="7"/>
      <c r="AC54" s="7"/>
      <c r="AD54" s="7"/>
      <c r="AE54" s="7"/>
      <c r="AF54" s="7"/>
      <c r="AG54" s="7"/>
      <c r="AH54" s="7"/>
      <c r="AI54" s="7"/>
    </row>
    <row r="55" spans="1:35" s="5" customFormat="1" ht="19.5" thickTop="1">
      <c r="A55" s="21"/>
      <c r="B55" s="21"/>
      <c r="C55" s="21"/>
      <c r="J55" s="83"/>
      <c r="K55" s="83"/>
      <c r="L55" s="20"/>
      <c r="M55" s="20"/>
      <c r="N55" s="20"/>
      <c r="O55" s="20"/>
      <c r="P55" s="20"/>
      <c r="Q55" s="20"/>
      <c r="R55" s="20"/>
      <c r="S55" s="10"/>
      <c r="T55" s="20"/>
      <c r="U55" s="10"/>
      <c r="V55" s="20"/>
      <c r="W55" s="20"/>
      <c r="X55" s="20"/>
      <c r="Y55" s="10"/>
      <c r="Z55" s="20"/>
      <c r="AA55" s="7"/>
      <c r="AB55" s="7"/>
      <c r="AC55" s="7"/>
      <c r="AD55" s="7"/>
      <c r="AE55" s="7"/>
      <c r="AF55" s="7"/>
      <c r="AG55" s="7"/>
      <c r="AH55" s="7"/>
      <c r="AI55" s="7"/>
    </row>
    <row r="56" spans="1:35" s="5" customFormat="1" ht="18.75">
      <c r="A56" s="21" t="s">
        <v>185</v>
      </c>
      <c r="B56" s="21"/>
      <c r="C56" s="21"/>
      <c r="J56" s="83"/>
      <c r="K56" s="83"/>
      <c r="L56" s="20">
        <v>1214499</v>
      </c>
      <c r="M56" s="20"/>
      <c r="N56" s="20">
        <v>5780551</v>
      </c>
      <c r="O56" s="20"/>
      <c r="P56" s="20">
        <v>-792</v>
      </c>
      <c r="Q56" s="20"/>
      <c r="R56" s="20">
        <v>728481</v>
      </c>
      <c r="S56" s="10"/>
      <c r="T56" s="20">
        <v>23416</v>
      </c>
      <c r="U56" s="10"/>
      <c r="V56" s="20">
        <v>131226</v>
      </c>
      <c r="W56" s="20"/>
      <c r="X56" s="20">
        <v>837174</v>
      </c>
      <c r="Y56" s="10"/>
      <c r="Z56" s="20">
        <f>SUM(L56:X56)</f>
        <v>8714555</v>
      </c>
      <c r="AA56" s="7"/>
      <c r="AB56" s="7"/>
      <c r="AC56" s="7"/>
      <c r="AD56" s="7"/>
      <c r="AE56" s="7"/>
      <c r="AF56" s="7"/>
      <c r="AG56" s="7"/>
      <c r="AH56" s="7"/>
      <c r="AI56" s="7"/>
    </row>
    <row r="57" spans="1:35" s="5" customFormat="1" ht="18.75">
      <c r="A57" s="5" t="s">
        <v>184</v>
      </c>
      <c r="B57" s="21"/>
      <c r="C57" s="21"/>
      <c r="J57" s="83"/>
      <c r="K57" s="83"/>
      <c r="L57" s="20"/>
      <c r="M57" s="20"/>
      <c r="N57" s="20"/>
      <c r="O57" s="20"/>
      <c r="P57" s="20"/>
      <c r="Q57" s="20"/>
      <c r="R57" s="20"/>
      <c r="S57" s="10"/>
      <c r="T57" s="20"/>
      <c r="U57" s="10"/>
      <c r="V57" s="20"/>
      <c r="W57" s="20"/>
      <c r="X57" s="20"/>
      <c r="Y57" s="10"/>
      <c r="Z57" s="20"/>
      <c r="AA57" s="7"/>
      <c r="AB57" s="7"/>
      <c r="AC57" s="7"/>
      <c r="AD57" s="7"/>
      <c r="AE57" s="7"/>
      <c r="AF57" s="7"/>
      <c r="AG57" s="7"/>
      <c r="AH57" s="7"/>
      <c r="AI57" s="7"/>
    </row>
    <row r="58" spans="1:35" s="5" customFormat="1" ht="18.75">
      <c r="A58" s="5" t="s">
        <v>183</v>
      </c>
      <c r="J58" s="87">
        <v>10</v>
      </c>
      <c r="K58" s="7"/>
      <c r="L58" s="20">
        <v>0</v>
      </c>
      <c r="M58" s="20"/>
      <c r="N58" s="20">
        <v>807</v>
      </c>
      <c r="O58" s="20"/>
      <c r="P58" s="20" t="s">
        <v>100</v>
      </c>
      <c r="Q58" s="20"/>
      <c r="R58" s="20" t="s">
        <v>100</v>
      </c>
      <c r="S58" s="10"/>
      <c r="T58" s="20">
        <f>-N58</f>
        <v>-807</v>
      </c>
      <c r="U58" s="10"/>
      <c r="V58" s="20" t="s">
        <v>100</v>
      </c>
      <c r="W58" s="20"/>
      <c r="X58" s="20" t="s">
        <v>100</v>
      </c>
      <c r="Y58" s="10"/>
      <c r="Z58" s="20">
        <f>SUM(L58:X58)</f>
        <v>0</v>
      </c>
      <c r="AA58" s="7"/>
      <c r="AB58" s="7"/>
      <c r="AC58" s="7"/>
      <c r="AD58" s="7"/>
      <c r="AE58" s="7"/>
      <c r="AF58" s="7"/>
      <c r="AG58" s="7"/>
      <c r="AH58" s="7"/>
      <c r="AI58" s="7"/>
    </row>
    <row r="59" spans="1:35" s="5" customFormat="1" ht="18.75">
      <c r="A59" s="5" t="s">
        <v>182</v>
      </c>
      <c r="J59" s="7"/>
      <c r="K59" s="83"/>
      <c r="L59" s="31" t="s">
        <v>100</v>
      </c>
      <c r="M59" s="20"/>
      <c r="N59" s="31">
        <v>0</v>
      </c>
      <c r="O59" s="20"/>
      <c r="P59" s="31">
        <v>267</v>
      </c>
      <c r="Q59" s="20"/>
      <c r="R59" s="31" t="s">
        <v>100</v>
      </c>
      <c r="S59" s="10"/>
      <c r="T59" s="31">
        <v>0</v>
      </c>
      <c r="U59" s="10"/>
      <c r="V59" s="31" t="s">
        <v>100</v>
      </c>
      <c r="W59" s="20"/>
      <c r="X59" s="31">
        <v>0</v>
      </c>
      <c r="Y59" s="10"/>
      <c r="Z59" s="31">
        <f>SUM(L59:X59)</f>
        <v>267</v>
      </c>
      <c r="AA59" s="7"/>
      <c r="AB59" s="7"/>
      <c r="AC59" s="7"/>
      <c r="AD59" s="7"/>
      <c r="AE59" s="7"/>
      <c r="AF59" s="7"/>
      <c r="AG59" s="7"/>
      <c r="AH59" s="7"/>
      <c r="AI59" s="7"/>
    </row>
    <row r="60" spans="1:35" s="5" customFormat="1" ht="18.75">
      <c r="A60" s="5" t="s">
        <v>181</v>
      </c>
      <c r="J60" s="87"/>
      <c r="K60" s="7"/>
      <c r="L60" s="20">
        <f>SUM(L58:L59)</f>
        <v>0</v>
      </c>
      <c r="M60" s="20"/>
      <c r="N60" s="20">
        <f>SUM(N58:N59)</f>
        <v>807</v>
      </c>
      <c r="O60" s="20"/>
      <c r="P60" s="20">
        <f>SUM(P58:P59)</f>
        <v>267</v>
      </c>
      <c r="Q60" s="20"/>
      <c r="R60" s="20">
        <f>SUM(R58:R59)</f>
        <v>0</v>
      </c>
      <c r="S60" s="10"/>
      <c r="T60" s="20">
        <f>SUM(T58:T59)</f>
        <v>-807</v>
      </c>
      <c r="U60" s="10"/>
      <c r="V60" s="20">
        <f>SUM(V58:V59)</f>
        <v>0</v>
      </c>
      <c r="W60" s="20"/>
      <c r="X60" s="20">
        <f>SUM(X58:X59)</f>
        <v>0</v>
      </c>
      <c r="Y60" s="10"/>
      <c r="Z60" s="20">
        <f>SUM(Z58:Z59)</f>
        <v>267</v>
      </c>
      <c r="AA60" s="7"/>
      <c r="AB60" s="7"/>
      <c r="AC60" s="7"/>
      <c r="AD60" s="7"/>
      <c r="AE60" s="7"/>
      <c r="AF60" s="7"/>
      <c r="AG60" s="7"/>
      <c r="AH60" s="7"/>
      <c r="AI60" s="7"/>
    </row>
    <row r="61" spans="1:35" s="5" customFormat="1" ht="18.75">
      <c r="A61" s="5" t="s">
        <v>74</v>
      </c>
      <c r="J61" s="86"/>
      <c r="K61" s="83"/>
      <c r="L61" s="31" t="s">
        <v>100</v>
      </c>
      <c r="M61" s="20"/>
      <c r="N61" s="31" t="s">
        <v>100</v>
      </c>
      <c r="O61" s="85"/>
      <c r="P61" s="31" t="s">
        <v>100</v>
      </c>
      <c r="Q61" s="85"/>
      <c r="R61" s="31" t="s">
        <v>100</v>
      </c>
      <c r="S61" s="10"/>
      <c r="T61" s="31" t="s">
        <v>100</v>
      </c>
      <c r="U61" s="10"/>
      <c r="V61" s="31" t="s">
        <v>100</v>
      </c>
      <c r="W61" s="85"/>
      <c r="X61" s="31">
        <f>'BS&amp;PL'!M217</f>
        <v>610391</v>
      </c>
      <c r="Y61" s="10"/>
      <c r="Z61" s="31">
        <f>SUM(L61:X61)</f>
        <v>610391</v>
      </c>
      <c r="AA61" s="7"/>
      <c r="AB61" s="7"/>
      <c r="AC61" s="7"/>
      <c r="AD61" s="7"/>
      <c r="AE61" s="7"/>
      <c r="AF61" s="7"/>
      <c r="AG61" s="7"/>
      <c r="AH61" s="7"/>
      <c r="AI61" s="7"/>
    </row>
    <row r="62" spans="1:35" s="5" customFormat="1" ht="18.75">
      <c r="A62" s="5" t="s">
        <v>180</v>
      </c>
      <c r="B62" s="84"/>
      <c r="D62" s="20"/>
      <c r="E62" s="20"/>
      <c r="F62" s="20"/>
      <c r="G62" s="20"/>
      <c r="H62" s="20"/>
      <c r="I62" s="10"/>
      <c r="J62" s="20"/>
      <c r="K62" s="20"/>
      <c r="L62" s="20">
        <f>SUM(L60:L61)</f>
        <v>0</v>
      </c>
      <c r="M62" s="20"/>
      <c r="N62" s="20">
        <f>SUM(N60:N61)</f>
        <v>807</v>
      </c>
      <c r="O62" s="10"/>
      <c r="P62" s="20">
        <f>SUM(P60:P61)</f>
        <v>267</v>
      </c>
      <c r="Q62" s="10"/>
      <c r="R62" s="20">
        <f>SUM(R60:R61)</f>
        <v>0</v>
      </c>
      <c r="S62" s="20"/>
      <c r="T62" s="20">
        <f>SUM(T60:T61)</f>
        <v>-807</v>
      </c>
      <c r="U62" s="20"/>
      <c r="V62" s="20">
        <f>SUM(V60:V61)</f>
        <v>0</v>
      </c>
      <c r="W62" s="20"/>
      <c r="X62" s="20">
        <f>SUM(X60:X61)</f>
        <v>610391</v>
      </c>
      <c r="Y62" s="20"/>
      <c r="Z62" s="20">
        <f>SUM(Z60:Z61)</f>
        <v>610658</v>
      </c>
      <c r="AA62" s="7"/>
      <c r="AB62" s="7"/>
      <c r="AC62" s="7"/>
      <c r="AD62" s="7"/>
      <c r="AE62" s="7"/>
      <c r="AF62" s="7"/>
      <c r="AG62" s="7"/>
      <c r="AH62" s="7"/>
      <c r="AI62" s="7"/>
    </row>
    <row r="63" spans="1:35" s="11" customFormat="1" ht="18.75">
      <c r="A63" s="11" t="s">
        <v>225</v>
      </c>
      <c r="J63" s="103">
        <v>12</v>
      </c>
      <c r="K63" s="36"/>
      <c r="L63" s="14">
        <v>0</v>
      </c>
      <c r="M63" s="14"/>
      <c r="N63" s="14">
        <v>0</v>
      </c>
      <c r="O63" s="14"/>
      <c r="P63" s="14" t="s">
        <v>100</v>
      </c>
      <c r="Q63" s="9"/>
      <c r="R63" s="14" t="s">
        <v>100</v>
      </c>
      <c r="S63" s="14"/>
      <c r="T63" s="14">
        <v>0</v>
      </c>
      <c r="U63" s="9"/>
      <c r="V63" s="14" t="s">
        <v>100</v>
      </c>
      <c r="W63" s="14"/>
      <c r="X63" s="14">
        <v>-728694</v>
      </c>
      <c r="Y63" s="9"/>
      <c r="Z63" s="14">
        <f>SUM(L63:X63)</f>
        <v>-728694</v>
      </c>
      <c r="AA63" s="102"/>
      <c r="AB63" s="102"/>
      <c r="AD63" s="102"/>
      <c r="AE63" s="102"/>
      <c r="AF63" s="102"/>
      <c r="AG63" s="102"/>
      <c r="AH63" s="102"/>
      <c r="AI63" s="102"/>
    </row>
    <row r="64" spans="1:35" s="5" customFormat="1" ht="19.5" thickBot="1">
      <c r="A64" s="21" t="s">
        <v>222</v>
      </c>
      <c r="B64" s="21"/>
      <c r="C64" s="21"/>
      <c r="J64" s="83"/>
      <c r="K64" s="83"/>
      <c r="L64" s="82">
        <f>SUM(L56,L62:L62)</f>
        <v>1214499</v>
      </c>
      <c r="M64" s="20"/>
      <c r="N64" s="82">
        <f>SUM(N56,N62:N62)</f>
        <v>5781358</v>
      </c>
      <c r="O64" s="20"/>
      <c r="P64" s="82">
        <f>SUM(P56,P62:P62)</f>
        <v>-525</v>
      </c>
      <c r="Q64" s="20"/>
      <c r="R64" s="82">
        <f>SUM(R56,R62:R62)</f>
        <v>728481</v>
      </c>
      <c r="S64" s="10"/>
      <c r="T64" s="82">
        <f>SUM(T56,T62:T62)</f>
        <v>22609</v>
      </c>
      <c r="U64" s="10"/>
      <c r="V64" s="82">
        <f>SUM(V56,V62:V62)</f>
        <v>131226</v>
      </c>
      <c r="W64" s="20"/>
      <c r="X64" s="82">
        <f>SUM(X56,X62:X63)</f>
        <v>718871</v>
      </c>
      <c r="Y64" s="10"/>
      <c r="Z64" s="82">
        <f>SUM(Z56,Z62:Z63)</f>
        <v>8596519</v>
      </c>
      <c r="AA64" s="7"/>
      <c r="AB64" s="7"/>
      <c r="AC64" s="7"/>
      <c r="AD64" s="7"/>
      <c r="AE64" s="7"/>
      <c r="AF64" s="7"/>
      <c r="AG64" s="7"/>
      <c r="AH64" s="7"/>
      <c r="AI64" s="7"/>
    </row>
    <row r="65" ht="19.5" thickTop="1"/>
    <row r="66" spans="1:3" ht="18.75">
      <c r="A66" s="5" t="s">
        <v>0</v>
      </c>
      <c r="B66" s="5"/>
      <c r="C66" s="5"/>
    </row>
    <row r="67" spans="1:26" ht="18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70" spans="4:35" ht="18.7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1" t="s">
        <v>179</v>
      </c>
      <c r="AA70" s="80"/>
      <c r="AB70" s="80"/>
      <c r="AC70" s="80"/>
      <c r="AD70" s="80"/>
      <c r="AE70" s="80"/>
      <c r="AF70" s="80"/>
      <c r="AG70" s="80"/>
      <c r="AH70" s="80"/>
      <c r="AI70" s="80"/>
    </row>
    <row r="73" ht="26.25">
      <c r="Z73" s="106">
        <v>7</v>
      </c>
    </row>
    <row r="75" spans="4:35" ht="18.75"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AA75" s="80"/>
      <c r="AB75" s="80"/>
      <c r="AC75" s="80"/>
      <c r="AD75" s="80"/>
      <c r="AE75" s="80"/>
      <c r="AF75" s="80"/>
      <c r="AG75" s="80"/>
      <c r="AH75" s="80"/>
      <c r="AI75" s="80"/>
    </row>
  </sheetData>
  <sheetProtection/>
  <mergeCells count="6">
    <mergeCell ref="D6:Z6"/>
    <mergeCell ref="R8:T8"/>
    <mergeCell ref="D7:V7"/>
    <mergeCell ref="A67:Z67"/>
    <mergeCell ref="L42:Z42"/>
    <mergeCell ref="A36:Z36"/>
  </mergeCells>
  <printOptions horizontalCentered="1"/>
  <pageMargins left="0.393700787401575" right="0.96" top="0.82" bottom="0.2" header="0.196850393700787" footer="0.196850393700787"/>
  <pageSetup firstPageNumber="3" useFirstPageNumber="1" horizontalDpi="600" verticalDpi="600" orientation="landscape" paperSize="9" scale="7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Wanwimon.Unanuya</dc:creator>
  <cp:keywords/>
  <dc:description/>
  <cp:lastModifiedBy>Wanwimon.Unanuya</cp:lastModifiedBy>
  <cp:lastPrinted>2010-08-13T02:39:50Z</cp:lastPrinted>
  <dcterms:created xsi:type="dcterms:W3CDTF">2010-05-25T03:31:39Z</dcterms:created>
  <dcterms:modified xsi:type="dcterms:W3CDTF">2010-08-13T02:40:01Z</dcterms:modified>
  <cp:category/>
  <cp:version/>
  <cp:contentType/>
  <cp:contentStatus/>
</cp:coreProperties>
</file>