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11" windowWidth="16935" windowHeight="5100" activeTab="0"/>
  </bookViews>
  <sheets>
    <sheet name="BS&amp;PL" sheetId="1" r:id="rId1"/>
    <sheet name="CE (2)" sheetId="2" r:id="rId2"/>
    <sheet name="CEสำรองเผื่อเปลี่ยนแบบการใช้" sheetId="3" state="hidden" r:id="rId3"/>
  </sheets>
  <definedNames>
    <definedName name="_xlnm.Print_Area" localSheetId="1">'CE (2)'!$A$1:$Y$73</definedName>
    <definedName name="_xlnm.Print_Area" localSheetId="2">'CEสำรองเผื่อเปลี่ยนแบบการใช้'!$A$1:$X$85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X64" authorId="0">
      <text>
        <r>
          <rPr>
            <sz val="8"/>
            <rFont val="Tahoma"/>
            <family val="0"/>
          </rPr>
          <t>Per Q3'07 FS total Equity after adj is 8,090,994 KB.</t>
        </r>
      </text>
    </comment>
  </commentList>
</comments>
</file>

<file path=xl/sharedStrings.xml><?xml version="1.0" encoding="utf-8"?>
<sst xmlns="http://schemas.openxmlformats.org/spreadsheetml/2006/main" count="996" uniqueCount="250">
  <si>
    <t>งบดุล</t>
  </si>
  <si>
    <t>สินทรัพย์</t>
  </si>
  <si>
    <t>สินทรัพย์หมุนเวียน</t>
  </si>
  <si>
    <t>รวมสินทรัพย์หมุนเวียน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</si>
  <si>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</si>
  <si>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</si>
  <si>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</si>
  <si>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>เจ้าหนี้การค้า</t>
  </si>
  <si>
    <t>หนี้สินหมุนเวียนอื่น</t>
  </si>
  <si>
    <t>รวมหนี้สินหมุนเวียน</t>
  </si>
  <si>
    <t>รวมหนี้สิน</t>
  </si>
  <si>
    <t>ส่วนของผู้ถือหุ้น</t>
  </si>
  <si>
    <t>ทุนเรือนหุ้น</t>
  </si>
  <si>
    <t>รวมส่วนของผู้ถือหุ้น</t>
  </si>
  <si>
    <t>รวมหนี้สินและส่วนของผู้ถือหุ้น</t>
  </si>
  <si>
    <t>งบกำไรขาดทุน</t>
  </si>
  <si>
    <t>รวมรายได้</t>
  </si>
  <si>
    <t>ดอกเบี้ยจ่าย</t>
  </si>
  <si>
    <t>กระแสเงินสดจากกิจกรรมดำเนินงาน</t>
  </si>
  <si>
    <t>กระแสเงินสดจากกิจกรรมลงทุน</t>
  </si>
  <si>
    <t>กระแสเงินสดจากกิจกรรมจัดหาเงิน</t>
  </si>
  <si>
    <t>เงินลงทุนชั่วคราว</t>
  </si>
  <si>
    <t>สินทรัพย์ไม่หมุนเวียน</t>
  </si>
  <si>
    <t>รวมสินทรัพย์ไม่หมุนเวียน</t>
  </si>
  <si>
    <t>หนี้สินไม่หมุนเวียน</t>
  </si>
  <si>
    <t>ส่วนเกินมูลค่าหุ้นสามัญ</t>
  </si>
  <si>
    <t>ยังไม่ได้จัดสรร</t>
  </si>
  <si>
    <t>รวมค่าใช้จ่าย</t>
  </si>
  <si>
    <t>รวม</t>
  </si>
  <si>
    <t>ค่าใช้จ่ายในการบริหารงาน</t>
  </si>
  <si>
    <t xml:space="preserve">รายได้ </t>
  </si>
  <si>
    <t>รายได้จากการจำหน่ายอาหารและเครื่องดื่ม</t>
  </si>
  <si>
    <t xml:space="preserve">ค่าใช้จ่าย </t>
  </si>
  <si>
    <t>หมายเหตุ</t>
  </si>
  <si>
    <t>ที่ออกและ</t>
  </si>
  <si>
    <t>ชำระแล้ว</t>
  </si>
  <si>
    <t>งบกระแสเงินสด</t>
  </si>
  <si>
    <t>กำไรจากการดำเนินงานก่อนการเปลี่ยนแปลงในสินทรัพย์</t>
  </si>
  <si>
    <t>งบแสดงการเปลี่ยนแปลงส่วนของผู้ถือหุ้น</t>
  </si>
  <si>
    <t>จากกิจกรรมดำเนินงาน</t>
  </si>
  <si>
    <t>และหนี้สินดำเนินงาน</t>
  </si>
  <si>
    <t>หนี้สูญและหนี้สงสัยจะสูญ</t>
  </si>
  <si>
    <t>เงินสดสุทธิใช้ไปในกิจกรรมลงทุน</t>
  </si>
  <si>
    <t>งบการเงินรวม</t>
  </si>
  <si>
    <t>ส่วนของ</t>
  </si>
  <si>
    <t>ผู้ถือหุ้น</t>
  </si>
  <si>
    <t>ส่วนน้อย</t>
  </si>
  <si>
    <t>ส่วนของผู้ถือหุ้นส่วนน้อย</t>
  </si>
  <si>
    <t>เงินสดและรายการเทียบเท่าเงินสดเพิ่มขึ้น(ลดลง)สุทธิ</t>
  </si>
  <si>
    <t>ส่วนเกินทุน</t>
  </si>
  <si>
    <t>จำนวนหุ้นสามัญถัวเฉลี่ยถ่วงน้ำหนัก (หุ้น)</t>
  </si>
  <si>
    <t>หมายเหตุประกอบงบการเงินเป็นส่วนหนึ่งของงบการเงินนี้</t>
  </si>
  <si>
    <t>งบดุล (ต่อ)</t>
  </si>
  <si>
    <t>บริษัท กรุงเทพดุสิตเวชการ จำกัด (มหาชน) และบริษัทย่อย</t>
  </si>
  <si>
    <t>เงินสดและรายการเทียบเท่าเงินสด</t>
  </si>
  <si>
    <t>สินค้าคงเหลือ</t>
  </si>
  <si>
    <t>สินทรัพย์หมุนเวียนอื่น - สุทธิ</t>
  </si>
  <si>
    <t>เงินลงทุนระยะยาวอื่น - สุทธิ</t>
  </si>
  <si>
    <t>ที่ดิน อาคาร และอุปกรณ์ - สุทธิ</t>
  </si>
  <si>
    <t>ที่ดินที่ยังไม่ได้ใช้เพื่อการดำเนินงาน</t>
  </si>
  <si>
    <t>ค่าความนิยม - สุทธิ</t>
  </si>
  <si>
    <t>สินทรัพย์ไม่หมุนเวียนอื่น - สุทธิ</t>
  </si>
  <si>
    <t>ค่าใช้จ่ายค้างจ่าย</t>
  </si>
  <si>
    <t>รายได้รอตัดบัญชี</t>
  </si>
  <si>
    <t>หนี้สินไม่หมุนเวียนอื่น</t>
  </si>
  <si>
    <t>กำไรสะสม</t>
  </si>
  <si>
    <t>รายได้ค่าบริการคนไข้</t>
  </si>
  <si>
    <t xml:space="preserve">รายได้อื่น </t>
  </si>
  <si>
    <t>ดอกเบี้ยรับ</t>
  </si>
  <si>
    <t>อื่น ๆ</t>
  </si>
  <si>
    <t xml:space="preserve">รวมรายได้อื่น </t>
  </si>
  <si>
    <t>ต้นทุนค่ารักษาพยาบาลและอื่น ๆ</t>
  </si>
  <si>
    <t>ค่าความนิยมตัดบัญชี</t>
  </si>
  <si>
    <t>รายได้รอตัดบัญชีตัดจ่าย</t>
  </si>
  <si>
    <t>เงินปันผลจ่าย</t>
  </si>
  <si>
    <t>เงินเบิกเกินบัญชีและเงินกู้ยืมระยะสั้นจากสถาบันการเงิน</t>
  </si>
  <si>
    <t>รวมหนี้สินไม่หมุนเวียน</t>
  </si>
  <si>
    <t>กำไรก่อนดอกเบี้ยจ่ายและภาษีเงินได้</t>
  </si>
  <si>
    <t>-</t>
  </si>
  <si>
    <t>ตามกฎหมาย</t>
  </si>
  <si>
    <t>สำรอง</t>
  </si>
  <si>
    <t>(หน่วย : บาท)</t>
  </si>
  <si>
    <t>ลูกหนี้การค้า</t>
  </si>
  <si>
    <t>กิจการที่เกี่ยวข้องกัน</t>
  </si>
  <si>
    <t>รวมลูกหนี้การค้า - สุทธิ</t>
  </si>
  <si>
    <t>ลูกหนี้อื่น - กิจการที่เกี่ยวข้องกัน</t>
  </si>
  <si>
    <t>เงินฝากธนาคารที่มีภาระค้ำประกัน</t>
  </si>
  <si>
    <t>เงินลงทุนในบริษัทอื่น - สุทธิ</t>
  </si>
  <si>
    <t>เงินให้กู้ยืมระยะยาวแก่กิจการที่เกี่ยวข้องกัน</t>
  </si>
  <si>
    <t>ดอกเบี้ยค้างรับ - กิจการที่เกี่ยวข้องกัน - สุทธิ</t>
  </si>
  <si>
    <t xml:space="preserve">  </t>
  </si>
  <si>
    <t>รวมเจ้าหนี้การค้า</t>
  </si>
  <si>
    <t>ส่วนของเจ้าหนี้เช่าซื้อและหนี้สินตามสัญญาเช่าการเงินที่ถึง</t>
  </si>
  <si>
    <t>เจ้าหนี้อื่นกิจการที่เกี่ยวข้องกัน</t>
  </si>
  <si>
    <t>เจ้าหนี้เช่าซื้อและหนี้สินตามสัญญาเช่าการเงิน - สุทธิจากส่วนที่ถึง</t>
  </si>
  <si>
    <t xml:space="preserve">   ทุนออกจำหน่ายและชำระเต็มมูลค่าแล้ว </t>
  </si>
  <si>
    <t>จัดสรรแล้ว - สำรองตามกฎหมาย</t>
  </si>
  <si>
    <t>รวมส่วนของผู้ถือหุ้นของบริษัทใหญ่</t>
  </si>
  <si>
    <t>ส่วนของผู้ถือหุ้นส่วนน้อยของบริษัทย่อย</t>
  </si>
  <si>
    <t>ดอกเบี้ยตัดจำหน่ายตามสัญญาเช่าการเงิน</t>
  </si>
  <si>
    <t>สินทรัพย์ดำเนินงานลดลง(เพิ่มขึ้น)</t>
  </si>
  <si>
    <t>สินทรัพย์หมุนเวียนอื่น</t>
  </si>
  <si>
    <t>สินทรัพย์ไม่หมุนเวียนอื่น</t>
  </si>
  <si>
    <t>หนี้สินดำเนินงานเพิ่มขึ้น(ลดลง)</t>
  </si>
  <si>
    <t>สินทรัพย์ไม่มีตัวตนเพิ่มขึ้น</t>
  </si>
  <si>
    <t>มูลค่าเงินลงทุน</t>
  </si>
  <si>
    <t>โอนไปสำรองตามกฎหมาย</t>
  </si>
  <si>
    <t>ปรับมูลค่ายุติธรรมของเงินลงทุน</t>
  </si>
  <si>
    <t>กำไรสุทธิสำหรับปี</t>
  </si>
  <si>
    <t>- 5 -</t>
  </si>
  <si>
    <t>- 6 -</t>
  </si>
  <si>
    <t>เจ้าหนี้ค่าก่อสร้างและเงินประกันผลงาน</t>
  </si>
  <si>
    <t>ภาษีเงินได้นิติบุคคลค้างจ่าย</t>
  </si>
  <si>
    <t>ส่วนเกินทุนจาก</t>
  </si>
  <si>
    <t>การเปลี่ยนแปลง</t>
  </si>
  <si>
    <t>เงินให้กู้ยืมระยะสั้นแก่กิจการที่เกี่ยวข้องกัน</t>
  </si>
  <si>
    <t>ค่าเสื่อมราคาและค่าตัดจำหน่าย</t>
  </si>
  <si>
    <t>งบแสดงการเปลี่ยนแปลงส่วนของผู้ถือหุ้น (ต่อ)</t>
  </si>
  <si>
    <t>กรรมการ</t>
  </si>
  <si>
    <t>ยอดคงเหลือ ณ วันที่ 31 ธันวาคม 2549</t>
  </si>
  <si>
    <t>หุ้นกู้แปลงสภาพ - องค์ประกอบที่เป็นหนี้สิน</t>
  </si>
  <si>
    <t xml:space="preserve">หุ้นสามัญ 1,312,264,222 หุ้น มูลค่าหุ้นละ 1 บาท </t>
  </si>
  <si>
    <t>ผลต่างจากการปรับโครงสร้างการถือหุ้น</t>
  </si>
  <si>
    <t>หุ้นกู้แปลงสภาพ - องค์ประกอบที่เป็นทุน</t>
  </si>
  <si>
    <t>หุ้นกู้</t>
  </si>
  <si>
    <t>ผลต่างจากการ</t>
  </si>
  <si>
    <t xml:space="preserve">แปลงสภาพ - </t>
  </si>
  <si>
    <t>จัดสรรแล้ว -</t>
  </si>
  <si>
    <t>ส่วนเกินมูลค่า</t>
  </si>
  <si>
    <t>จากการตีราคา</t>
  </si>
  <si>
    <t>ปรับโครงสร้าง</t>
  </si>
  <si>
    <t>องค์ประกอบ</t>
  </si>
  <si>
    <t>หุ้นสามัญ</t>
  </si>
  <si>
    <t>การถือหุ้น</t>
  </si>
  <si>
    <t>ที่เป็นทุน</t>
  </si>
  <si>
    <t>เพิ่มทุน - หุ้นสามัญ</t>
  </si>
  <si>
    <t>ส่วนเกินมูลค่าหุ้น</t>
  </si>
  <si>
    <t xml:space="preserve">เงินปันผลจ่าย </t>
  </si>
  <si>
    <t>ตัดจำหน่ายหุ้นกู้แปลงสภาพ</t>
  </si>
  <si>
    <t>ค่าใช้จ่ายในการออกหุ้นกู้แปลงสภาพตัดจำหน่าย</t>
  </si>
  <si>
    <t>เงินปันผลที่บริษัทย่อยจ่ายให้ผู้ถือหุ้นส่วนน้อย</t>
  </si>
  <si>
    <t>เจ้าหนี้อื่น-กิจการที่เกี่ยวข้องกัน</t>
  </si>
  <si>
    <t>กิจการอื่น - สุทธิ</t>
  </si>
  <si>
    <t>เงินกู้ยืมระยะสั้นจากกิจการที่เกี่ยวข้องกัน</t>
  </si>
  <si>
    <t>กิจการอื่น</t>
  </si>
  <si>
    <t>ของบริษัทย่อย</t>
  </si>
  <si>
    <t>เงินปันผลค้างรับ - กิจการที่เกี่ยวข้องกัน</t>
  </si>
  <si>
    <t>ผลต่างจากการแปลงค่างบการเงิน</t>
  </si>
  <si>
    <t>แปลงค่างบการเงิน</t>
  </si>
  <si>
    <t>สำหรับปีสิ้นสุดวันที่ 31 ธันวาคม 2550 และ 2549</t>
  </si>
  <si>
    <t>ยอดคงเหลือ ณ วันที่ 31 ธันวาคม 2550</t>
  </si>
  <si>
    <t>ยอดคงเหลือ ณ วันที่ 31 ธันวาคม 2548 - ตามที่รายงานไว้เดิม</t>
  </si>
  <si>
    <t>ผลสะสมจากการเปลี่ยนแปลงนโยบายการบัญชีเกี่ยวกับ</t>
  </si>
  <si>
    <t xml:space="preserve">     การบันทึกอาคาร</t>
  </si>
  <si>
    <t>ยอดคงเหลือ ณ วันที่ 31 ธันวาคม 2548 - หลังปรับปรุง</t>
  </si>
  <si>
    <t>การแปลงสภาพหุ้นกู้</t>
  </si>
  <si>
    <t>กำไรสุทธิสำหรับปี(ปรับปรุงใหม่)</t>
  </si>
  <si>
    <t>งบการเงินเฉพาะกิจการ</t>
  </si>
  <si>
    <t>เงินลงทุนในบริษัทย่อย</t>
  </si>
  <si>
    <t xml:space="preserve">     การบันทึกเงินลงทุนในบริษัทย่อยและบริษัทร่วม</t>
  </si>
  <si>
    <t>ผลสะสมจากการเปลี่ยนแปลงนโยบายบัญชีเกี่ยวกับ</t>
  </si>
  <si>
    <t>ส่วนของผู้ถือหุ้นส่วนน้อยในกำไรสุทธิสำหรับปี - หลังปรับปรุง</t>
  </si>
  <si>
    <t>ยอดคงเหลือ ณ วันที่ 31 ธันวาคม 2549 - หลังปรับปรุง</t>
  </si>
  <si>
    <t>เงินปันผลรับ</t>
  </si>
  <si>
    <t>ที่ดินและอาคาร</t>
  </si>
  <si>
    <t>ส่วนเกินทุนจากการตีราคาที่ดิน</t>
  </si>
  <si>
    <t>ที่ดิน</t>
  </si>
  <si>
    <t>ยอดคงเหลือ ณ วันที่ 31 ธันวาคม 2549 - ตามที่รายงานไว้เดิม</t>
  </si>
  <si>
    <t>เงินลงทุนในบริษัทร่วม</t>
  </si>
  <si>
    <t>เงินรับจากเงินกู้ยืมระยะยาว</t>
  </si>
  <si>
    <t xml:space="preserve">ทุนจดทะเบียน  </t>
  </si>
  <si>
    <t>ณ วันที่</t>
  </si>
  <si>
    <t>(ยังไม่ได้ตรวจสอบ</t>
  </si>
  <si>
    <t>(ตรวจสอบแล้ว)</t>
  </si>
  <si>
    <t>แต่สอบทานแล้ว)</t>
  </si>
  <si>
    <t>(ยังไม่ได้ตรวจสอบ แต่สอบทานแล้ว)</t>
  </si>
  <si>
    <t>2550</t>
  </si>
  <si>
    <t>กำไรสุทธิสำหรับงวด</t>
  </si>
  <si>
    <t>กำไรต่อหุ้นขั้นพื้นฐาน (บาท)</t>
  </si>
  <si>
    <t>กำไรจากการจำหน่ายเงินลงทุน</t>
  </si>
  <si>
    <t>ลูกหนี้อื่นกิจการที่เกี่ยวข้องกัน</t>
  </si>
  <si>
    <t>เงินสดสุทธิได้มาจากกิจกรรมดำเนินงาน</t>
  </si>
  <si>
    <t>งบกระแสเงินสด (ต่อ)</t>
  </si>
  <si>
    <t>เงินสดจ่ายชำระคืนเงินกู้ยืมระยะยาว</t>
  </si>
  <si>
    <t>เงินสดสุทธิได้มาจาก(ใช้ไปใน)กิจกรรมจัดหาเงิน</t>
  </si>
  <si>
    <t xml:space="preserve">เงินสดและรายการเทียบเท่าเงินสด ณ วันต้นงวด </t>
  </si>
  <si>
    <t xml:space="preserve">เงินสดและรายการเทียบเท่าเงินสด ณ วันสิ้นงวด </t>
  </si>
  <si>
    <t>2551</t>
  </si>
  <si>
    <t>ผลต่างจาก</t>
  </si>
  <si>
    <t>แปลงสภาพ -</t>
  </si>
  <si>
    <t>เปลี่ยนแปลง</t>
  </si>
  <si>
    <t>การแปลงค่า</t>
  </si>
  <si>
    <t>งบการเงิน</t>
  </si>
  <si>
    <t>1</t>
  </si>
  <si>
    <t>2</t>
  </si>
  <si>
    <t>3</t>
  </si>
  <si>
    <t>(หน่วย: พันบาท)</t>
  </si>
  <si>
    <t>(หน่วย: พันบาท ยกเว้นกำไรต่อหุ้นแสดงเป็นบาท)</t>
  </si>
  <si>
    <t>จ่ายเงินปันผล</t>
  </si>
  <si>
    <t>ยอดคงเหลือ ณ วันที่ 1 มกราคม 2551</t>
  </si>
  <si>
    <t>ยอดคงเหลือ ณ วันที่ 1 มกราคม 2550</t>
  </si>
  <si>
    <t>ส่วนขาดทุนจากการเปลี่ยนแปลงมูลค่าเงินลงทุน</t>
  </si>
  <si>
    <t>(ขาดทุน)จากการ</t>
  </si>
  <si>
    <t>ภาษีเงินได้นิติบุคคล</t>
  </si>
  <si>
    <t>การแบ่งปันกำไรสุทธิ</t>
  </si>
  <si>
    <t>ส่วนที่เป็นของผู้ถือหุ้นบริษัทใหญ่</t>
  </si>
  <si>
    <t>ส่วนที่เป็นของผู้ถือหุ้นส่วนน้อยของบริษัทย่อย</t>
  </si>
  <si>
    <t>กำไรสุทธิที่เป็นส่วนของผู้ถือหุ้นบริษัทใหญ่</t>
  </si>
  <si>
    <t>กำไรสุทธิก่อนภาษี</t>
  </si>
  <si>
    <t>ส่วนแบ่งกำไรจากเงินลงทุนในบริษัทร่วม</t>
  </si>
  <si>
    <t>เงินสดจากกิจกรรมดำเนินงาน</t>
  </si>
  <si>
    <t>จ่ายดอกเบี้ย</t>
  </si>
  <si>
    <t>จ่ายภาษีเงินได้นิติบุคคล</t>
  </si>
  <si>
    <t>ค่าใช้จ่ายดอกเบี้ยจ่าย</t>
  </si>
  <si>
    <t>เงินให้กู้ยืมระยะสั้นและดอกเบี้ยค้างรับแก่กิจการที่เกี่ยวข้องกันเพิ่มขึ้น</t>
  </si>
  <si>
    <t>เงินสดรับสุทธิจากการออกหุ้นกู้</t>
  </si>
  <si>
    <t>กำไรจากการจ่ายชำระหนี้ก่อนกำหนด</t>
  </si>
  <si>
    <t>ขาดทุน(กำไร)จากการจำหน่ายสินทรัพย์</t>
  </si>
  <si>
    <t>เงินสดจ่ายซื้อเงินลงทุนในบริษัทร่วมและบริษัทย่อย</t>
  </si>
  <si>
    <t>เงินสดจ่ายชำระเจ้าหนี้เช่าซื้อและหนี้สินตามสัญญาเช่าทางการเงิน</t>
  </si>
  <si>
    <t>เงินสดรับจากการขายสินทรัพย์ถาวร</t>
  </si>
  <si>
    <t>เงินสดจ่ายซื้อสินทรัพย์ถาวร</t>
  </si>
  <si>
    <t>30 มิถุนายน 2551</t>
  </si>
  <si>
    <t>สำหรับงวดหกเดือนสิ้นสุดวันที่ 30 มิถุนายน 2551 และ 2550</t>
  </si>
  <si>
    <t>สำหรับงวดสามเดือนสิ้นสุดวันที่ 30 มิถุนายน 2551 และ 2550</t>
  </si>
  <si>
    <t>ยอดคงเหลือ ณ วันที่ 30 มิถุนายน  2551</t>
  </si>
  <si>
    <t>ยอดคงเหลือ ณ วันที่ 30 มิถุนายน 2550</t>
  </si>
  <si>
    <t>เงินสดรับสุทธิจากการขายเงินลงทุน</t>
  </si>
  <si>
    <t>กลับรายการค่าเผื่อการด้อยค่าของสินทรัพย์ถาวร</t>
  </si>
  <si>
    <t>รายได้จากเงินปันผลรับ</t>
  </si>
  <si>
    <t>4</t>
  </si>
  <si>
    <t>รับชำระเงินให้กู้ยืมระยะยาวจากกิจการที่เกี่ยวข้องกัน</t>
  </si>
  <si>
    <t>ข้อมูลเพิ่มเติมประกอบกระแสเงินสด :-</t>
  </si>
  <si>
    <t>รายการที่ไม่ใช่เงินสด</t>
  </si>
  <si>
    <t xml:space="preserve">  สินทรัพย์ซื้อภายใต้สัญญาเช่าการเงินและสัญญาเช่าซื้อ</t>
  </si>
  <si>
    <t xml:space="preserve">  เจ้าหนี้ค่าซื้อสินทรัพย์</t>
  </si>
  <si>
    <t>9</t>
  </si>
  <si>
    <t>เงินปันผลรับจากเงินลงทุนในบริษัทย่อย บริษัทร่วม และบริษัทอื่น</t>
  </si>
  <si>
    <t>กลับรายการค่าเผื่อการด้อยค่าของเงินลงทุน</t>
  </si>
  <si>
    <t xml:space="preserve">  เจ้าหนี้ก่อสร้างและเงินประกันผลงาน</t>
  </si>
  <si>
    <t>เงินกู้ยืมระยะสั้นจากกิจการที่เกี่ยวข้องกันลดลง</t>
  </si>
  <si>
    <t>สินทรัพย์ไม่มีตัวตน - สุทธิ</t>
  </si>
  <si>
    <t>ส่วนของเงินกู้ยืมระยะยาวที่ถึงกำหนดชำระในหนึ่งปี</t>
  </si>
  <si>
    <t xml:space="preserve">   กำหนดชำระในหนึ่งปี</t>
  </si>
  <si>
    <t>เงินกู้ยืมระยะยาว - สุทธิจากส่วนที่ถึงกำหนดชำระในหนึ่งปี</t>
  </si>
  <si>
    <t>เงินเบิกเกินบัญชีและเงินกู้ยืมระยะสั้นจากสถาบันการเงินเพิ่มขึ้น(ลดลง)</t>
  </si>
  <si>
    <t>เงินลงทุนชั่วคราวและเงินฝากที่มีภาระค้ำประกัน (เพิ่มขึ้น)ลดลง</t>
  </si>
  <si>
    <t xml:space="preserve">   (31 ธันวาคม 2550: หุ้นสามัญ 1,214,130,812 หุ้น มูลค่าหุ้นละ 1 บาท) </t>
  </si>
  <si>
    <t xml:space="preserve">หุ้นสามัญ 1,214,498,745 หุ้น มูลค่าหุ้นละ 1 บาท </t>
  </si>
  <si>
    <t>ปรับรายการที่กระทบกำไรสุทธิก่อนภาษีเป็นเงินสดรับ(จ่าย)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</si>
</sst>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* #,##0_-;\-* #,##0_-;_-* &quot;-&quot;_-;_-@_-"/>
    <numFmt numFmtId="193" formatCode="_-&quot;£&quot;* #,##0.00_-;\-&quot;£&quot;* #,##0.00_-;_-&quot;£&quot;* &quot;-&quot;??_-;_-@_-"/>
    <numFmt numFmtId="194" formatCode="_-* #,##0.00_-;\-* #,##0.00_-;_-* &quot;-&quot;??_-;_-@_-"/>
    <numFmt numFmtId="195" formatCode="t&quot;£&quot;#,##0_);\(t&quot;£&quot;#,##0\)"/>
    <numFmt numFmtId="196" formatCode="t&quot;£&quot;#,##0_);[Red]\(t&quot;£&quot;#,##0\)"/>
    <numFmt numFmtId="197" formatCode="t&quot;£&quot;#,##0.00_);\(t&quot;£&quot;#,##0.00\)"/>
    <numFmt numFmtId="198" formatCode="t&quot;£&quot;#,##0.00_);[Red]\(t&quot;£&quot;#,##0.00\)"/>
    <numFmt numFmtId="199" formatCode="#,##0\ ;\(#,##0\)"/>
    <numFmt numFmtId="200" formatCode="#,##0.00\ ;\(#,##0.00\)"/>
    <numFmt numFmtId="201" formatCode="_(* #,##0_);_(* \(#,##0\);_(* &quot;-&quot;??_);_(@_)"/>
    <numFmt numFmtId="202" formatCode="_(* #,##0_);_(* \(#,##0\);_(* &quot; -    &quot;_);_(@_)"/>
  </numFmts>
  <fonts count="16">
    <font>
      <sz val="15"/>
      <name val="Angsana New"/>
      <family val="1"/>
    </font>
    <font>
      <sz val="10"/>
      <name val="Arial"/>
      <family val="0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sz val="14"/>
      <name val="Angsana New"/>
      <family val="1"/>
    </font>
    <font>
      <sz val="10"/>
      <name val="ApFont"/>
      <family val="0"/>
    </font>
    <font>
      <sz val="13"/>
      <name val="Angsana New"/>
      <family val="1"/>
    </font>
    <font>
      <b/>
      <sz val="13"/>
      <name val="Angsana New"/>
      <family val="1"/>
    </font>
    <font>
      <u val="single"/>
      <sz val="13"/>
      <name val="Angsana New"/>
      <family val="1"/>
    </font>
    <font>
      <i/>
      <sz val="13"/>
      <name val="Angsana New"/>
      <family val="1"/>
    </font>
    <font>
      <sz val="12"/>
      <name val="Angsana New"/>
      <family val="1"/>
    </font>
    <font>
      <u val="single"/>
      <sz val="12"/>
      <name val="Angsana New"/>
      <family val="1"/>
    </font>
    <font>
      <b/>
      <sz val="12"/>
      <name val="Angsana New"/>
      <family val="1"/>
    </font>
    <font>
      <i/>
      <sz val="12"/>
      <name val="Angsana New"/>
      <family val="1"/>
    </font>
    <font>
      <sz val="8"/>
      <name val="Tahoma"/>
      <family val="0"/>
    </font>
    <font>
      <b/>
      <sz val="8"/>
      <name val="Angsana Ne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19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199" fontId="4" fillId="0" borderId="0">
      <alignment/>
      <protection/>
    </xf>
    <xf numFmtId="9" fontId="1" fillId="0" borderId="0" applyFont="0" applyFill="0" applyBorder="0" applyAlignment="0" applyProtection="0"/>
  </cellStyleXfs>
  <cellXfs count="160">
    <xf numFmtId="199" fontId="0" fillId="0" borderId="0" xfId="0" applyAlignment="1">
      <alignment/>
    </xf>
    <xf numFmtId="199" fontId="6" fillId="0" borderId="0" xfId="0" applyFont="1" applyAlignment="1">
      <alignment vertical="center"/>
    </xf>
    <xf numFmtId="199" fontId="8" fillId="0" borderId="0" xfId="0" applyFont="1" applyAlignment="1">
      <alignment horizontal="center" vertical="center"/>
    </xf>
    <xf numFmtId="199" fontId="6" fillId="0" borderId="0" xfId="0" applyFont="1" applyFill="1" applyAlignment="1">
      <alignment/>
    </xf>
    <xf numFmtId="199" fontId="6" fillId="0" borderId="0" xfId="0" applyFont="1" applyFill="1" applyAlignment="1">
      <alignment horizontal="justify" wrapText="1"/>
    </xf>
    <xf numFmtId="199" fontId="6" fillId="0" borderId="0" xfId="0" applyFont="1" applyFill="1" applyAlignment="1">
      <alignment horizontal="center" wrapText="1"/>
    </xf>
    <xf numFmtId="199" fontId="9" fillId="0" borderId="0" xfId="0" applyFont="1" applyFill="1" applyAlignment="1">
      <alignment horizontal="center" wrapText="1"/>
    </xf>
    <xf numFmtId="199" fontId="6" fillId="0" borderId="0" xfId="0" applyFont="1" applyFill="1" applyAlignment="1">
      <alignment/>
    </xf>
    <xf numFmtId="199" fontId="9" fillId="0" borderId="0" xfId="0" applyFont="1" applyFill="1" applyBorder="1" applyAlignment="1">
      <alignment horizontal="center" wrapText="1"/>
    </xf>
    <xf numFmtId="199" fontId="6" fillId="0" borderId="0" xfId="0" applyFont="1" applyFill="1" applyAlignment="1">
      <alignment horizontal="justify"/>
    </xf>
    <xf numFmtId="38" fontId="6" fillId="0" borderId="0" xfId="0" applyNumberFormat="1" applyFont="1" applyFill="1" applyAlignment="1">
      <alignment vertical="center"/>
    </xf>
    <xf numFmtId="37" fontId="6" fillId="0" borderId="0" xfId="0" applyNumberFormat="1" applyFont="1" applyFill="1" applyAlignment="1">
      <alignment vertical="center"/>
    </xf>
    <xf numFmtId="38" fontId="6" fillId="0" borderId="1" xfId="0" applyNumberFormat="1" applyFont="1" applyFill="1" applyBorder="1" applyAlignment="1">
      <alignment vertical="center"/>
    </xf>
    <xf numFmtId="37" fontId="6" fillId="0" borderId="0" xfId="0" applyNumberFormat="1" applyFont="1" applyFill="1" applyAlignment="1" quotePrefix="1">
      <alignment horizontal="right"/>
    </xf>
    <xf numFmtId="37" fontId="6" fillId="0" borderId="0" xfId="0" applyNumberFormat="1" applyFont="1" applyFill="1" applyAlignment="1">
      <alignment horizontal="centerContinuous"/>
    </xf>
    <xf numFmtId="199" fontId="7" fillId="0" borderId="0" xfId="0" applyFont="1" applyFill="1" applyAlignment="1">
      <alignment horizontal="justify" wrapText="1"/>
    </xf>
    <xf numFmtId="199" fontId="9" fillId="0" borderId="0" xfId="0" applyFont="1" applyFill="1" applyAlignment="1">
      <alignment horizontal="center"/>
    </xf>
    <xf numFmtId="37" fontId="6" fillId="0" borderId="0" xfId="0" applyNumberFormat="1" applyFont="1" applyFill="1" applyBorder="1" applyAlignment="1">
      <alignment horizontal="right"/>
    </xf>
    <xf numFmtId="37" fontId="6" fillId="0" borderId="0" xfId="0" applyNumberFormat="1" applyFont="1" applyFill="1" applyBorder="1" applyAlignment="1">
      <alignment horizontal="center"/>
    </xf>
    <xf numFmtId="199" fontId="6" fillId="0" borderId="0" xfId="0" applyFont="1" applyFill="1" applyAlignment="1">
      <alignment vertical="top"/>
    </xf>
    <xf numFmtId="199" fontId="6" fillId="0" borderId="0" xfId="0" applyFont="1" applyFill="1" applyAlignment="1">
      <alignment horizontal="justify" vertical="top"/>
    </xf>
    <xf numFmtId="199" fontId="6" fillId="0" borderId="0" xfId="0" applyFont="1" applyFill="1" applyAlignment="1">
      <alignment horizontal="center" vertical="top" wrapText="1"/>
    </xf>
    <xf numFmtId="199" fontId="9" fillId="0" borderId="0" xfId="0" applyFont="1" applyFill="1" applyBorder="1" applyAlignment="1">
      <alignment horizontal="center" vertical="top" wrapText="1"/>
    </xf>
    <xf numFmtId="199" fontId="10" fillId="2" borderId="0" xfId="23" applyFont="1" applyFill="1" applyAlignment="1">
      <alignment vertical="top"/>
      <protection/>
    </xf>
    <xf numFmtId="199" fontId="10" fillId="2" borderId="0" xfId="23" applyFont="1" applyFill="1" applyAlignment="1">
      <alignment horizontal="center" vertical="top"/>
      <protection/>
    </xf>
    <xf numFmtId="199" fontId="10" fillId="2" borderId="0" xfId="23" applyFont="1" applyFill="1" applyBorder="1" applyAlignment="1">
      <alignment vertical="top"/>
      <protection/>
    </xf>
    <xf numFmtId="199" fontId="10" fillId="2" borderId="0" xfId="23" applyFont="1" applyFill="1" applyBorder="1" applyAlignment="1">
      <alignment horizontal="center" vertical="top"/>
      <protection/>
    </xf>
    <xf numFmtId="0" fontId="10" fillId="0" borderId="0" xfId="22" applyFont="1" applyBorder="1" applyAlignment="1">
      <alignment horizontal="right" vertical="top"/>
      <protection/>
    </xf>
    <xf numFmtId="199" fontId="10" fillId="2" borderId="2" xfId="23" applyFont="1" applyFill="1" applyBorder="1" applyAlignment="1">
      <alignment horizontal="center" vertical="top"/>
      <protection/>
    </xf>
    <xf numFmtId="199" fontId="11" fillId="0" borderId="0" xfId="0" applyFont="1" applyAlignment="1">
      <alignment horizontal="center" vertical="top"/>
    </xf>
    <xf numFmtId="199" fontId="12" fillId="0" borderId="0" xfId="0" applyFont="1" applyFill="1" applyAlignment="1">
      <alignment/>
    </xf>
    <xf numFmtId="202" fontId="10" fillId="0" borderId="0" xfId="0" applyNumberFormat="1" applyFont="1" applyFill="1" applyBorder="1" applyAlignment="1">
      <alignment horizontal="right"/>
    </xf>
    <xf numFmtId="199" fontId="10" fillId="0" borderId="0" xfId="0" applyFont="1" applyFill="1" applyAlignment="1">
      <alignment/>
    </xf>
    <xf numFmtId="199" fontId="10" fillId="0" borderId="0" xfId="0" applyFont="1" applyFill="1" applyBorder="1" applyAlignment="1">
      <alignment horizontal="right"/>
    </xf>
    <xf numFmtId="202" fontId="10" fillId="0" borderId="3" xfId="0" applyNumberFormat="1" applyFont="1" applyFill="1" applyBorder="1" applyAlignment="1">
      <alignment horizontal="right"/>
    </xf>
    <xf numFmtId="202" fontId="10" fillId="0" borderId="0" xfId="0" applyNumberFormat="1" applyFont="1" applyFill="1" applyBorder="1" applyAlignment="1">
      <alignment horizontal="center" vertical="top"/>
    </xf>
    <xf numFmtId="202" fontId="10" fillId="0" borderId="0" xfId="0" applyNumberFormat="1" applyFont="1" applyFill="1" applyBorder="1" applyAlignment="1">
      <alignment horizontal="right" vertical="top"/>
    </xf>
    <xf numFmtId="199" fontId="10" fillId="0" borderId="0" xfId="0" applyFont="1" applyFill="1" applyAlignment="1">
      <alignment vertical="top"/>
    </xf>
    <xf numFmtId="202" fontId="10" fillId="0" borderId="0" xfId="0" applyNumberFormat="1" applyFont="1" applyFill="1" applyBorder="1" applyAlignment="1">
      <alignment vertical="top"/>
    </xf>
    <xf numFmtId="199" fontId="10" fillId="0" borderId="0" xfId="0" applyFont="1" applyFill="1" applyBorder="1" applyAlignment="1">
      <alignment horizontal="right" vertical="top"/>
    </xf>
    <xf numFmtId="199" fontId="13" fillId="0" borderId="0" xfId="0" applyFont="1" applyFill="1" applyAlignment="1">
      <alignment horizontal="center" vertical="top"/>
    </xf>
    <xf numFmtId="43" fontId="10" fillId="0" borderId="0" xfId="15" applyFont="1" applyFill="1" applyBorder="1" applyAlignment="1">
      <alignment horizontal="right" vertical="top"/>
    </xf>
    <xf numFmtId="199" fontId="10" fillId="0" borderId="0" xfId="0" applyFont="1" applyFill="1" applyAlignment="1">
      <alignment horizontal="right" vertical="top"/>
    </xf>
    <xf numFmtId="201" fontId="10" fillId="0" borderId="0" xfId="15" applyNumberFormat="1" applyFont="1" applyFill="1" applyBorder="1" applyAlignment="1">
      <alignment vertical="top"/>
    </xf>
    <xf numFmtId="199" fontId="12" fillId="0" borderId="0" xfId="0" applyFont="1" applyFill="1" applyAlignment="1">
      <alignment vertical="top"/>
    </xf>
    <xf numFmtId="202" fontId="10" fillId="0" borderId="4" xfId="0" applyNumberFormat="1" applyFont="1" applyFill="1" applyBorder="1" applyAlignment="1">
      <alignment horizontal="right" vertical="top"/>
    </xf>
    <xf numFmtId="37" fontId="10" fillId="2" borderId="0" xfId="23" applyNumberFormat="1" applyFont="1" applyFill="1" applyAlignment="1">
      <alignment vertical="top"/>
      <protection/>
    </xf>
    <xf numFmtId="199" fontId="10" fillId="0" borderId="0" xfId="0" applyFont="1" applyAlignment="1">
      <alignment vertical="top"/>
    </xf>
    <xf numFmtId="202" fontId="10" fillId="0" borderId="3" xfId="0" applyNumberFormat="1" applyFont="1" applyFill="1" applyBorder="1" applyAlignment="1">
      <alignment horizontal="center"/>
    </xf>
    <xf numFmtId="43" fontId="10" fillId="0" borderId="0" xfId="15" applyFont="1" applyFill="1" applyBorder="1" applyAlignment="1">
      <alignment vertical="top"/>
    </xf>
    <xf numFmtId="199" fontId="6" fillId="0" borderId="0" xfId="0" applyFont="1" applyFill="1" applyBorder="1" applyAlignment="1">
      <alignment vertical="top"/>
    </xf>
    <xf numFmtId="199" fontId="13" fillId="0" borderId="0" xfId="0" applyFont="1" applyFill="1" applyAlignment="1">
      <alignment horizontal="center"/>
    </xf>
    <xf numFmtId="199" fontId="7" fillId="0" borderId="0" xfId="0" applyFont="1" applyFill="1" applyAlignment="1">
      <alignment/>
    </xf>
    <xf numFmtId="37" fontId="6" fillId="0" borderId="0" xfId="0" applyNumberFormat="1" applyFont="1" applyFill="1" applyAlignment="1">
      <alignment/>
    </xf>
    <xf numFmtId="199" fontId="11" fillId="0" borderId="0" xfId="0" applyFont="1" applyBorder="1" applyAlignment="1">
      <alignment horizontal="center" vertical="top"/>
    </xf>
    <xf numFmtId="199" fontId="13" fillId="0" borderId="0" xfId="0" applyFont="1" applyFill="1" applyBorder="1" applyAlignment="1">
      <alignment horizontal="center"/>
    </xf>
    <xf numFmtId="199" fontId="10" fillId="0" borderId="0" xfId="0" applyFont="1" applyFill="1" applyBorder="1" applyAlignment="1">
      <alignment/>
    </xf>
    <xf numFmtId="199" fontId="10" fillId="0" borderId="0" xfId="0" applyFont="1" applyFill="1" applyBorder="1" applyAlignment="1">
      <alignment vertical="top"/>
    </xf>
    <xf numFmtId="199" fontId="13" fillId="0" borderId="0" xfId="0" applyFont="1" applyFill="1" applyBorder="1" applyAlignment="1">
      <alignment horizontal="center" vertical="top"/>
    </xf>
    <xf numFmtId="199" fontId="10" fillId="2" borderId="3" xfId="23" applyFont="1" applyFill="1" applyBorder="1" applyAlignment="1">
      <alignment vertical="top"/>
      <protection/>
    </xf>
    <xf numFmtId="202" fontId="10" fillId="0" borderId="2" xfId="0" applyNumberFormat="1" applyFont="1" applyFill="1" applyBorder="1" applyAlignment="1">
      <alignment horizontal="right"/>
    </xf>
    <xf numFmtId="202" fontId="10" fillId="0" borderId="2" xfId="0" applyNumberFormat="1" applyFont="1" applyFill="1" applyBorder="1" applyAlignment="1">
      <alignment horizontal="center" vertical="top"/>
    </xf>
    <xf numFmtId="202" fontId="10" fillId="0" borderId="2" xfId="0" applyNumberFormat="1" applyFont="1" applyFill="1" applyBorder="1" applyAlignment="1">
      <alignment vertical="top"/>
    </xf>
    <xf numFmtId="37" fontId="10" fillId="0" borderId="2" xfId="0" applyNumberFormat="1" applyFont="1" applyFill="1" applyBorder="1" applyAlignment="1">
      <alignment horizontal="center"/>
    </xf>
    <xf numFmtId="37" fontId="10" fillId="0" borderId="0" xfId="0" applyNumberFormat="1" applyFont="1" applyFill="1" applyBorder="1" applyAlignment="1">
      <alignment horizontal="right"/>
    </xf>
    <xf numFmtId="37" fontId="10" fillId="0" borderId="0" xfId="0" applyNumberFormat="1" applyFont="1" applyFill="1" applyAlignment="1">
      <alignment/>
    </xf>
    <xf numFmtId="37" fontId="10" fillId="0" borderId="2" xfId="0" applyNumberFormat="1" applyFont="1" applyFill="1" applyBorder="1" applyAlignment="1">
      <alignment horizontal="right"/>
    </xf>
    <xf numFmtId="37" fontId="6" fillId="0" borderId="0" xfId="0" applyNumberFormat="1" applyFont="1" applyFill="1" applyBorder="1" applyAlignment="1">
      <alignment/>
    </xf>
    <xf numFmtId="37" fontId="6" fillId="0" borderId="0" xfId="0" applyNumberFormat="1" applyFont="1" applyFill="1" applyAlignment="1">
      <alignment horizontal="center"/>
    </xf>
    <xf numFmtId="37" fontId="6" fillId="0" borderId="0" xfId="0" applyNumberFormat="1" applyFont="1" applyFill="1" applyBorder="1" applyAlignment="1">
      <alignment horizontal="right" vertical="top"/>
    </xf>
    <xf numFmtId="41" fontId="6" fillId="0" borderId="0" xfId="0" applyNumberFormat="1" applyFont="1" applyFill="1" applyBorder="1" applyAlignment="1">
      <alignment horizontal="right"/>
    </xf>
    <xf numFmtId="41" fontId="6" fillId="0" borderId="5" xfId="0" applyNumberFormat="1" applyFont="1" applyFill="1" applyBorder="1" applyAlignment="1">
      <alignment horizontal="right"/>
    </xf>
    <xf numFmtId="41" fontId="6" fillId="0" borderId="6" xfId="0" applyNumberFormat="1" applyFont="1" applyFill="1" applyBorder="1" applyAlignment="1">
      <alignment horizontal="right"/>
    </xf>
    <xf numFmtId="41" fontId="6" fillId="0" borderId="2" xfId="0" applyNumberFormat="1" applyFont="1" applyFill="1" applyBorder="1" applyAlignment="1">
      <alignment horizontal="right"/>
    </xf>
    <xf numFmtId="199" fontId="6" fillId="0" borderId="2" xfId="0" applyFont="1" applyFill="1" applyBorder="1" applyAlignment="1">
      <alignment horizontal="center" vertical="center"/>
    </xf>
    <xf numFmtId="199" fontId="6" fillId="0" borderId="0" xfId="0" applyFont="1" applyFill="1" applyBorder="1" applyAlignment="1">
      <alignment horizontal="center" vertical="center"/>
    </xf>
    <xf numFmtId="202" fontId="6" fillId="0" borderId="0" xfId="0" applyNumberFormat="1" applyFont="1" applyFill="1" applyBorder="1" applyAlignment="1">
      <alignment horizontal="right"/>
    </xf>
    <xf numFmtId="199" fontId="6" fillId="0" borderId="0" xfId="0" applyFont="1" applyFill="1" applyAlignment="1">
      <alignment horizontal="center"/>
    </xf>
    <xf numFmtId="202" fontId="6" fillId="0" borderId="7" xfId="0" applyNumberFormat="1" applyFont="1" applyFill="1" applyBorder="1" applyAlignment="1">
      <alignment horizontal="right"/>
    </xf>
    <xf numFmtId="199" fontId="6" fillId="0" borderId="0" xfId="0" applyFont="1" applyFill="1" applyBorder="1" applyAlignment="1">
      <alignment/>
    </xf>
    <xf numFmtId="199" fontId="6" fillId="0" borderId="0" xfId="0" applyFont="1" applyFill="1" applyAlignment="1">
      <alignment vertical="center"/>
    </xf>
    <xf numFmtId="199" fontId="6" fillId="2" borderId="0" xfId="23" applyFont="1" applyFill="1">
      <alignment/>
      <protection/>
    </xf>
    <xf numFmtId="0" fontId="6" fillId="0" borderId="0" xfId="22" applyFont="1" applyAlignment="1">
      <alignment horizontal="right"/>
      <protection/>
    </xf>
    <xf numFmtId="199" fontId="6" fillId="2" borderId="0" xfId="23" applyFont="1" applyFill="1" applyBorder="1" applyAlignment="1">
      <alignment vertical="center"/>
      <protection/>
    </xf>
    <xf numFmtId="199" fontId="6" fillId="2" borderId="0" xfId="23" applyFont="1" applyFill="1" applyBorder="1">
      <alignment/>
      <protection/>
    </xf>
    <xf numFmtId="199" fontId="6" fillId="2" borderId="0" xfId="23" applyFont="1" applyFill="1" applyBorder="1" applyAlignment="1">
      <alignment horizontal="center"/>
      <protection/>
    </xf>
    <xf numFmtId="0" fontId="6" fillId="0" borderId="0" xfId="22" applyFont="1" applyBorder="1" applyAlignment="1">
      <alignment horizontal="right"/>
      <protection/>
    </xf>
    <xf numFmtId="199" fontId="6" fillId="2" borderId="2" xfId="23" applyFont="1" applyFill="1" applyBorder="1" applyAlignment="1">
      <alignment horizontal="centerContinuous"/>
      <protection/>
    </xf>
    <xf numFmtId="199" fontId="6" fillId="2" borderId="0" xfId="23" applyFont="1" applyFill="1" applyBorder="1" applyAlignment="1">
      <alignment horizontal="centerContinuous"/>
      <protection/>
    </xf>
    <xf numFmtId="199" fontId="6" fillId="2" borderId="8" xfId="23" applyFont="1" applyFill="1" applyBorder="1" applyAlignment="1">
      <alignment horizontal="centerContinuous"/>
      <protection/>
    </xf>
    <xf numFmtId="199" fontId="6" fillId="2" borderId="8" xfId="23" applyFont="1" applyFill="1" applyBorder="1" applyAlignment="1">
      <alignment horizontal="center"/>
      <protection/>
    </xf>
    <xf numFmtId="199" fontId="6" fillId="2" borderId="0" xfId="23" applyFont="1" applyFill="1" applyBorder="1" applyAlignment="1">
      <alignment/>
      <protection/>
    </xf>
    <xf numFmtId="199" fontId="6" fillId="2" borderId="0" xfId="23" applyFont="1" applyFill="1" applyAlignment="1">
      <alignment horizontal="center"/>
      <protection/>
    </xf>
    <xf numFmtId="199" fontId="6" fillId="2" borderId="0" xfId="23" applyFont="1" applyFill="1" applyAlignment="1">
      <alignment horizontal="right"/>
      <protection/>
    </xf>
    <xf numFmtId="199" fontId="6" fillId="2" borderId="2" xfId="23" applyFont="1" applyFill="1" applyBorder="1" applyAlignment="1">
      <alignment horizontal="center"/>
      <protection/>
    </xf>
    <xf numFmtId="37" fontId="6" fillId="2" borderId="0" xfId="23" applyNumberFormat="1" applyFont="1" applyFill="1">
      <alignment/>
      <protection/>
    </xf>
    <xf numFmtId="43" fontId="6" fillId="0" borderId="0" xfId="15" applyFont="1" applyFill="1" applyBorder="1" applyAlignment="1">
      <alignment/>
    </xf>
    <xf numFmtId="199" fontId="6" fillId="0" borderId="0" xfId="0" applyFont="1" applyFill="1" applyBorder="1" applyAlignment="1">
      <alignment horizontal="right"/>
    </xf>
    <xf numFmtId="199" fontId="7" fillId="2" borderId="0" xfId="23" applyFont="1" applyFill="1" applyAlignment="1">
      <alignment vertical="center"/>
      <protection/>
    </xf>
    <xf numFmtId="199" fontId="6" fillId="0" borderId="0" xfId="23" applyFont="1" applyFill="1">
      <alignment/>
      <protection/>
    </xf>
    <xf numFmtId="37" fontId="6" fillId="0" borderId="0" xfId="23" applyNumberFormat="1" applyFont="1" applyFill="1">
      <alignment/>
      <protection/>
    </xf>
    <xf numFmtId="199" fontId="7" fillId="0" borderId="0" xfId="0" applyFont="1" applyFill="1" applyAlignment="1">
      <alignment horizontal="left"/>
    </xf>
    <xf numFmtId="41" fontId="6" fillId="0" borderId="7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 horizontal="right" vertical="top"/>
    </xf>
    <xf numFmtId="41" fontId="6" fillId="0" borderId="9" xfId="0" applyNumberFormat="1" applyFont="1" applyFill="1" applyBorder="1" applyAlignment="1">
      <alignment horizontal="right"/>
    </xf>
    <xf numFmtId="41" fontId="6" fillId="0" borderId="7" xfId="15" applyNumberFormat="1" applyFont="1" applyFill="1" applyBorder="1" applyAlignment="1">
      <alignment horizontal="right"/>
    </xf>
    <xf numFmtId="41" fontId="6" fillId="0" borderId="0" xfId="0" applyNumberFormat="1" applyFont="1" applyFill="1" applyAlignment="1">
      <alignment horizontal="right"/>
    </xf>
    <xf numFmtId="41" fontId="6" fillId="0" borderId="4" xfId="0" applyNumberFormat="1" applyFont="1" applyFill="1" applyBorder="1" applyAlignment="1">
      <alignment horizontal="right"/>
    </xf>
    <xf numFmtId="41" fontId="6" fillId="0" borderId="8" xfId="0" applyNumberFormat="1" applyFont="1" applyFill="1" applyBorder="1" applyAlignment="1">
      <alignment horizontal="right"/>
    </xf>
    <xf numFmtId="41" fontId="6" fillId="0" borderId="0" xfId="15" applyNumberFormat="1" applyFont="1" applyFill="1" applyBorder="1" applyAlignment="1">
      <alignment horizontal="right"/>
    </xf>
    <xf numFmtId="199" fontId="6" fillId="0" borderId="0" xfId="0" applyFont="1" applyFill="1" applyAlignment="1">
      <alignment horizontal="left"/>
    </xf>
    <xf numFmtId="199" fontId="6" fillId="0" borderId="0" xfId="0" applyFont="1" applyFill="1" applyAlignment="1">
      <alignment horizontal="right"/>
    </xf>
    <xf numFmtId="199" fontId="7" fillId="0" borderId="0" xfId="0" applyFont="1" applyFill="1" applyAlignment="1">
      <alignment vertical="center"/>
    </xf>
    <xf numFmtId="199" fontId="8" fillId="0" borderId="0" xfId="0" applyFont="1" applyFill="1" applyAlignment="1">
      <alignment horizontal="center" vertical="center"/>
    </xf>
    <xf numFmtId="16" fontId="6" fillId="0" borderId="2" xfId="0" applyNumberFormat="1" applyFont="1" applyFill="1" applyBorder="1" applyAlignment="1">
      <alignment horizontal="center" vertical="center"/>
    </xf>
    <xf numFmtId="199" fontId="8" fillId="0" borderId="0" xfId="0" applyFont="1" applyFill="1" applyAlignment="1">
      <alignment horizontal="right" vertical="center"/>
    </xf>
    <xf numFmtId="199" fontId="6" fillId="0" borderId="0" xfId="0" applyFont="1" applyFill="1" applyAlignment="1">
      <alignment horizontal="right" vertical="center"/>
    </xf>
    <xf numFmtId="199" fontId="6" fillId="0" borderId="0" xfId="0" applyFont="1" applyFill="1" applyBorder="1" applyAlignment="1">
      <alignment horizontal="center"/>
    </xf>
    <xf numFmtId="41" fontId="6" fillId="0" borderId="0" xfId="0" applyNumberFormat="1" applyFont="1" applyFill="1" applyAlignment="1">
      <alignment horizontal="center"/>
    </xf>
    <xf numFmtId="41" fontId="6" fillId="0" borderId="0" xfId="0" applyNumberFormat="1" applyFont="1" applyFill="1" applyAlignment="1">
      <alignment/>
    </xf>
    <xf numFmtId="41" fontId="6" fillId="0" borderId="3" xfId="0" applyNumberFormat="1" applyFont="1" applyFill="1" applyBorder="1" applyAlignment="1">
      <alignment horizontal="right"/>
    </xf>
    <xf numFmtId="49" fontId="6" fillId="0" borderId="0" xfId="0" applyNumberFormat="1" applyFont="1" applyFill="1" applyAlignment="1">
      <alignment horizontal="center"/>
    </xf>
    <xf numFmtId="37" fontId="6" fillId="0" borderId="0" xfId="0" applyNumberFormat="1" applyFont="1" applyFill="1" applyAlignment="1">
      <alignment horizontal="left"/>
    </xf>
    <xf numFmtId="37" fontId="6" fillId="0" borderId="0" xfId="0" applyNumberFormat="1" applyFont="1" applyFill="1" applyAlignment="1" quotePrefix="1">
      <alignment horizontal="center"/>
    </xf>
    <xf numFmtId="199" fontId="6" fillId="0" borderId="0" xfId="0" applyFont="1" applyFill="1" applyAlignment="1">
      <alignment horizontal="centerContinuous"/>
    </xf>
    <xf numFmtId="16" fontId="8" fillId="0" borderId="0" xfId="0" applyNumberFormat="1" applyFont="1" applyFill="1" applyBorder="1" applyAlignment="1" quotePrefix="1">
      <alignment horizontal="center" vertical="center"/>
    </xf>
    <xf numFmtId="199" fontId="8" fillId="0" borderId="0" xfId="0" applyFont="1" applyFill="1" applyBorder="1" applyAlignment="1">
      <alignment horizontal="center" vertical="center"/>
    </xf>
    <xf numFmtId="199" fontId="8" fillId="0" borderId="0" xfId="0" applyFont="1" applyFill="1" applyBorder="1" applyAlignment="1">
      <alignment vertical="center"/>
    </xf>
    <xf numFmtId="16" fontId="6" fillId="0" borderId="0" xfId="0" applyNumberFormat="1" applyFont="1" applyFill="1" applyBorder="1" applyAlignment="1">
      <alignment horizontal="center" vertical="center"/>
    </xf>
    <xf numFmtId="200" fontId="6" fillId="0" borderId="7" xfId="0" applyNumberFormat="1" applyFont="1" applyFill="1" applyBorder="1" applyAlignment="1">
      <alignment/>
    </xf>
    <xf numFmtId="200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41" fontId="6" fillId="0" borderId="0" xfId="15" applyNumberFormat="1" applyFont="1" applyFill="1" applyAlignment="1">
      <alignment horizontal="right"/>
    </xf>
    <xf numFmtId="199" fontId="6" fillId="0" borderId="0" xfId="0" applyFont="1" applyFill="1" applyBorder="1" applyAlignment="1">
      <alignment vertical="center"/>
    </xf>
    <xf numFmtId="41" fontId="6" fillId="0" borderId="0" xfId="0" applyNumberFormat="1" applyFont="1" applyFill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2" xfId="0" applyNumberFormat="1" applyFont="1" applyFill="1" applyBorder="1" applyAlignment="1">
      <alignment horizontal="right" vertical="center"/>
    </xf>
    <xf numFmtId="199" fontId="6" fillId="0" borderId="0" xfId="21" applyNumberFormat="1" applyFont="1" applyFill="1" applyBorder="1" applyAlignment="1">
      <alignment vertical="top"/>
      <protection/>
    </xf>
    <xf numFmtId="37" fontId="6" fillId="0" borderId="0" xfId="0" applyNumberFormat="1" applyFont="1" applyFill="1" applyAlignment="1">
      <alignment horizontal="right"/>
    </xf>
    <xf numFmtId="199" fontId="6" fillId="2" borderId="0" xfId="0" applyFont="1" applyFill="1" applyAlignment="1">
      <alignment/>
    </xf>
    <xf numFmtId="199" fontId="6" fillId="2" borderId="0" xfId="0" applyFont="1" applyFill="1" applyAlignment="1">
      <alignment horizontal="center"/>
    </xf>
    <xf numFmtId="37" fontId="6" fillId="2" borderId="0" xfId="0" applyNumberFormat="1" applyFont="1" applyFill="1" applyAlignment="1">
      <alignment horizontal="center"/>
    </xf>
    <xf numFmtId="37" fontId="6" fillId="2" borderId="0" xfId="0" applyNumberFormat="1" applyFont="1" applyFill="1" applyAlignment="1">
      <alignment/>
    </xf>
    <xf numFmtId="199" fontId="6" fillId="0" borderId="0" xfId="0" applyFont="1" applyAlignment="1">
      <alignment/>
    </xf>
    <xf numFmtId="41" fontId="6" fillId="2" borderId="0" xfId="0" applyNumberFormat="1" applyFont="1" applyFill="1" applyAlignment="1">
      <alignment horizontal="right"/>
    </xf>
    <xf numFmtId="41" fontId="6" fillId="2" borderId="0" xfId="0" applyNumberFormat="1" applyFont="1" applyFill="1" applyAlignment="1">
      <alignment horizontal="center"/>
    </xf>
    <xf numFmtId="199" fontId="6" fillId="0" borderId="0" xfId="0" applyFont="1" applyAlignment="1">
      <alignment/>
    </xf>
    <xf numFmtId="199" fontId="6" fillId="2" borderId="0" xfId="0" applyFont="1" applyFill="1" applyAlignment="1">
      <alignment/>
    </xf>
    <xf numFmtId="199" fontId="6" fillId="0" borderId="0" xfId="0" applyFont="1" applyFill="1" applyAlignment="1">
      <alignment horizontal="left" vertical="center"/>
    </xf>
    <xf numFmtId="199" fontId="7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right"/>
    </xf>
    <xf numFmtId="199" fontId="6" fillId="0" borderId="0" xfId="0" applyFont="1" applyFill="1" applyAlignment="1" quotePrefix="1">
      <alignment horizontal="right" vertical="center"/>
    </xf>
    <xf numFmtId="199" fontId="6" fillId="0" borderId="0" xfId="0" applyFont="1" applyFill="1" applyAlignment="1">
      <alignment horizontal="right" vertical="center"/>
    </xf>
    <xf numFmtId="199" fontId="6" fillId="2" borderId="8" xfId="23" applyFont="1" applyFill="1" applyBorder="1" applyAlignment="1">
      <alignment horizontal="center"/>
      <protection/>
    </xf>
    <xf numFmtId="199" fontId="6" fillId="2" borderId="2" xfId="23" applyFont="1" applyFill="1" applyBorder="1" applyAlignment="1">
      <alignment horizontal="center"/>
      <protection/>
    </xf>
    <xf numFmtId="199" fontId="6" fillId="2" borderId="0" xfId="23" applyFont="1" applyFill="1" applyAlignment="1" quotePrefix="1">
      <alignment horizontal="right"/>
      <protection/>
    </xf>
    <xf numFmtId="199" fontId="10" fillId="2" borderId="8" xfId="23" applyFont="1" applyFill="1" applyBorder="1" applyAlignment="1">
      <alignment horizontal="center" vertical="top"/>
      <protection/>
    </xf>
    <xf numFmtId="199" fontId="10" fillId="2" borderId="2" xfId="23" applyFont="1" applyFill="1" applyBorder="1" applyAlignment="1">
      <alignment horizontal="center" vertical="top"/>
      <protection/>
    </xf>
    <xf numFmtId="199" fontId="10" fillId="2" borderId="0" xfId="23" applyFont="1" applyFill="1" applyAlignment="1" quotePrefix="1">
      <alignment horizontal="center" vertical="top"/>
      <protection/>
    </xf>
    <xf numFmtId="199" fontId="10" fillId="2" borderId="0" xfId="23" applyFont="1" applyFill="1" applyAlignment="1">
      <alignment horizontal="center" vertical="top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3" xfId="21"/>
    <cellStyle name="Normal_CE-Thai" xfId="22"/>
    <cellStyle name="Normal_conso-Samitivej03-Accounts-A3112t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4"/>
  <sheetViews>
    <sheetView showGridLines="0" tabSelected="1" zoomScale="150" zoomScaleNormal="150" zoomScaleSheetLayoutView="100" workbookViewId="0" topLeftCell="A1">
      <selection activeCell="A1" sqref="A1:M1"/>
    </sheetView>
  </sheetViews>
  <sheetFormatPr defaultColWidth="9.140625" defaultRowHeight="21.75"/>
  <cols>
    <col min="1" max="1" width="1.7109375" style="7" customWidth="1"/>
    <col min="2" max="3" width="2.7109375" style="7" customWidth="1"/>
    <col min="4" max="4" width="49.8515625" style="7" customWidth="1"/>
    <col min="5" max="5" width="8.140625" style="77" customWidth="1"/>
    <col min="6" max="6" width="1.7109375" style="77" customWidth="1"/>
    <col min="7" max="7" width="13.140625" style="68" customWidth="1"/>
    <col min="8" max="8" width="1.7109375" style="53" customWidth="1"/>
    <col min="9" max="9" width="13.140625" style="53" customWidth="1"/>
    <col min="10" max="10" width="1.7109375" style="53" customWidth="1"/>
    <col min="11" max="11" width="13.140625" style="53" customWidth="1"/>
    <col min="12" max="12" width="1.7109375" style="53" customWidth="1"/>
    <col min="13" max="13" width="13.140625" style="53" customWidth="1"/>
    <col min="14" max="16384" width="9.140625" style="7" customWidth="1"/>
  </cols>
  <sheetData>
    <row r="1" spans="1:13" ht="18.75">
      <c r="A1" s="149" t="s">
        <v>53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18.75">
      <c r="A2" s="149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ht="18.75">
      <c r="A3" s="110"/>
      <c r="B3" s="110"/>
      <c r="C3" s="110"/>
      <c r="D3" s="110"/>
      <c r="G3" s="77"/>
      <c r="H3" s="110"/>
      <c r="I3" s="110"/>
      <c r="J3" s="110"/>
      <c r="K3" s="110"/>
      <c r="L3" s="110"/>
      <c r="M3" s="111" t="s">
        <v>196</v>
      </c>
    </row>
    <row r="4" spans="7:13" s="112" customFormat="1" ht="18.75">
      <c r="G4" s="74"/>
      <c r="H4" s="74" t="s">
        <v>43</v>
      </c>
      <c r="I4" s="74"/>
      <c r="J4" s="80"/>
      <c r="K4" s="74"/>
      <c r="L4" s="74" t="s">
        <v>157</v>
      </c>
      <c r="M4" s="74"/>
    </row>
    <row r="5" spans="7:13" s="80" customFormat="1" ht="18.75">
      <c r="G5" s="75" t="s">
        <v>171</v>
      </c>
      <c r="H5" s="75"/>
      <c r="I5" s="75" t="s">
        <v>171</v>
      </c>
      <c r="K5" s="75" t="s">
        <v>171</v>
      </c>
      <c r="L5" s="75"/>
      <c r="M5" s="75" t="s">
        <v>171</v>
      </c>
    </row>
    <row r="6" spans="5:13" s="80" customFormat="1" ht="18.75">
      <c r="E6" s="113" t="s">
        <v>33</v>
      </c>
      <c r="G6" s="114" t="s">
        <v>222</v>
      </c>
      <c r="H6" s="75"/>
      <c r="I6" s="74" t="str">
        <f>"31 ธันวาคม 2550"</f>
        <v>31 ธันวาคม 2550</v>
      </c>
      <c r="K6" s="114" t="s">
        <v>222</v>
      </c>
      <c r="L6" s="75"/>
      <c r="M6" s="74" t="str">
        <f>"31 ธันวาคม 2550"</f>
        <v>31 ธันวาคม 2550</v>
      </c>
    </row>
    <row r="7" spans="5:13" s="80" customFormat="1" ht="18.75">
      <c r="E7" s="113"/>
      <c r="F7" s="115"/>
      <c r="G7" s="75" t="s">
        <v>172</v>
      </c>
      <c r="H7" s="116"/>
      <c r="I7" s="75" t="s">
        <v>173</v>
      </c>
      <c r="J7" s="115"/>
      <c r="K7" s="75" t="s">
        <v>172</v>
      </c>
      <c r="L7" s="116"/>
      <c r="M7" s="75" t="s">
        <v>173</v>
      </c>
    </row>
    <row r="8" spans="5:13" s="80" customFormat="1" ht="18.75">
      <c r="E8" s="113"/>
      <c r="F8" s="115"/>
      <c r="G8" s="75" t="s">
        <v>174</v>
      </c>
      <c r="H8" s="116"/>
      <c r="I8" s="75"/>
      <c r="J8" s="115"/>
      <c r="K8" s="75" t="s">
        <v>174</v>
      </c>
      <c r="L8" s="116"/>
      <c r="M8" s="75"/>
    </row>
    <row r="9" spans="1:13" ht="18.75">
      <c r="A9" s="101" t="s">
        <v>1</v>
      </c>
      <c r="E9" s="117"/>
      <c r="F9" s="117"/>
      <c r="G9" s="18"/>
      <c r="I9" s="18"/>
      <c r="J9" s="18"/>
      <c r="K9" s="18"/>
      <c r="L9" s="68"/>
      <c r="M9" s="18"/>
    </row>
    <row r="10" spans="1:13" ht="18.75">
      <c r="A10" s="52" t="s">
        <v>2</v>
      </c>
      <c r="G10" s="118"/>
      <c r="H10" s="119"/>
      <c r="I10" s="118"/>
      <c r="J10" s="119"/>
      <c r="K10" s="119"/>
      <c r="L10" s="119"/>
      <c r="M10" s="119"/>
    </row>
    <row r="11" spans="1:13" s="3" customFormat="1" ht="18.75">
      <c r="A11" s="7" t="s">
        <v>54</v>
      </c>
      <c r="C11" s="7"/>
      <c r="D11" s="4"/>
      <c r="E11" s="6"/>
      <c r="F11" s="5"/>
      <c r="G11" s="70">
        <v>1970898</v>
      </c>
      <c r="H11" s="70"/>
      <c r="I11" s="70">
        <v>963602</v>
      </c>
      <c r="J11" s="70"/>
      <c r="K11" s="70">
        <v>490094</v>
      </c>
      <c r="L11" s="70"/>
      <c r="M11" s="70">
        <v>169248</v>
      </c>
    </row>
    <row r="12" spans="1:13" s="3" customFormat="1" ht="18.75">
      <c r="A12" s="7" t="s">
        <v>21</v>
      </c>
      <c r="C12" s="7"/>
      <c r="D12" s="4"/>
      <c r="E12" s="6"/>
      <c r="F12" s="5"/>
      <c r="G12" s="70">
        <v>69912</v>
      </c>
      <c r="H12" s="70"/>
      <c r="I12" s="70">
        <v>56674</v>
      </c>
      <c r="J12" s="70"/>
      <c r="K12" s="70">
        <v>8</v>
      </c>
      <c r="L12" s="70"/>
      <c r="M12" s="70">
        <v>8</v>
      </c>
    </row>
    <row r="13" spans="1:13" s="3" customFormat="1" ht="18.75">
      <c r="A13" s="7" t="s">
        <v>82</v>
      </c>
      <c r="C13" s="7"/>
      <c r="D13" s="4"/>
      <c r="E13" s="6">
        <v>2</v>
      </c>
      <c r="F13" s="5"/>
      <c r="G13" s="70"/>
      <c r="H13" s="70"/>
      <c r="I13" s="70"/>
      <c r="J13" s="70"/>
      <c r="K13" s="70"/>
      <c r="L13" s="70"/>
      <c r="M13" s="70"/>
    </row>
    <row r="14" spans="1:13" s="3" customFormat="1" ht="18.75">
      <c r="A14" s="7"/>
      <c r="B14" s="7" t="s">
        <v>83</v>
      </c>
      <c r="D14" s="4"/>
      <c r="E14" s="6">
        <v>3</v>
      </c>
      <c r="F14" s="5"/>
      <c r="G14" s="71">
        <v>916</v>
      </c>
      <c r="H14" s="70"/>
      <c r="I14" s="71">
        <v>4883</v>
      </c>
      <c r="J14" s="70"/>
      <c r="K14" s="71">
        <v>6433</v>
      </c>
      <c r="L14" s="70"/>
      <c r="M14" s="71">
        <v>8249</v>
      </c>
    </row>
    <row r="15" spans="1:13" s="3" customFormat="1" ht="18.75">
      <c r="A15" s="7"/>
      <c r="B15" s="7" t="s">
        <v>142</v>
      </c>
      <c r="D15" s="4"/>
      <c r="E15" s="16"/>
      <c r="F15" s="5"/>
      <c r="G15" s="72">
        <v>1345657</v>
      </c>
      <c r="H15" s="70"/>
      <c r="I15" s="72">
        <v>1328745</v>
      </c>
      <c r="J15" s="70"/>
      <c r="K15" s="72">
        <v>533493</v>
      </c>
      <c r="L15" s="70"/>
      <c r="M15" s="72">
        <v>566405</v>
      </c>
    </row>
    <row r="16" spans="1:13" s="3" customFormat="1" ht="18.75">
      <c r="A16" s="7" t="s">
        <v>84</v>
      </c>
      <c r="C16" s="7"/>
      <c r="D16" s="4"/>
      <c r="E16" s="6"/>
      <c r="F16" s="5"/>
      <c r="G16" s="70">
        <f>SUM(G14:G15)</f>
        <v>1346573</v>
      </c>
      <c r="H16" s="70"/>
      <c r="I16" s="70">
        <f>SUM(I14:I15)</f>
        <v>1333628</v>
      </c>
      <c r="J16" s="70"/>
      <c r="K16" s="70">
        <f>SUM(K14:K15)</f>
        <v>539926</v>
      </c>
      <c r="L16" s="70"/>
      <c r="M16" s="70">
        <f>SUM(M14:M15)</f>
        <v>574654</v>
      </c>
    </row>
    <row r="17" spans="1:13" s="3" customFormat="1" ht="18.75">
      <c r="A17" s="7" t="s">
        <v>85</v>
      </c>
      <c r="C17" s="7"/>
      <c r="D17" s="4"/>
      <c r="E17" s="6">
        <v>3</v>
      </c>
      <c r="F17" s="5"/>
      <c r="G17" s="70">
        <v>190401</v>
      </c>
      <c r="H17" s="70"/>
      <c r="I17" s="70">
        <v>177785</v>
      </c>
      <c r="J17" s="70"/>
      <c r="K17" s="70">
        <v>99425</v>
      </c>
      <c r="L17" s="70"/>
      <c r="M17" s="70">
        <v>64018</v>
      </c>
    </row>
    <row r="18" spans="1:13" s="3" customFormat="1" ht="18.75">
      <c r="A18" s="7" t="s">
        <v>115</v>
      </c>
      <c r="C18" s="7"/>
      <c r="D18" s="4"/>
      <c r="E18" s="6">
        <v>3</v>
      </c>
      <c r="F18" s="5"/>
      <c r="G18" s="70">
        <v>0</v>
      </c>
      <c r="H18" s="70"/>
      <c r="I18" s="70">
        <v>0</v>
      </c>
      <c r="J18" s="70"/>
      <c r="K18" s="70">
        <v>208762</v>
      </c>
      <c r="L18" s="70"/>
      <c r="M18" s="70">
        <v>0</v>
      </c>
    </row>
    <row r="19" spans="1:13" s="3" customFormat="1" ht="18.75">
      <c r="A19" s="7" t="s">
        <v>146</v>
      </c>
      <c r="C19" s="7"/>
      <c r="D19" s="4"/>
      <c r="E19" s="6">
        <v>3</v>
      </c>
      <c r="F19" s="5"/>
      <c r="G19" s="70">
        <v>0</v>
      </c>
      <c r="H19" s="70"/>
      <c r="I19" s="70">
        <v>0</v>
      </c>
      <c r="J19" s="70"/>
      <c r="K19" s="70">
        <v>0</v>
      </c>
      <c r="L19" s="70"/>
      <c r="M19" s="70">
        <v>40000</v>
      </c>
    </row>
    <row r="20" spans="1:13" s="3" customFormat="1" ht="18.75">
      <c r="A20" s="7" t="s">
        <v>55</v>
      </c>
      <c r="C20" s="7"/>
      <c r="D20" s="4"/>
      <c r="E20" s="6"/>
      <c r="F20" s="5"/>
      <c r="G20" s="70">
        <v>181682</v>
      </c>
      <c r="H20" s="70"/>
      <c r="I20" s="70">
        <v>212241</v>
      </c>
      <c r="J20" s="70"/>
      <c r="K20" s="70">
        <v>47795</v>
      </c>
      <c r="L20" s="70"/>
      <c r="M20" s="70">
        <v>59618</v>
      </c>
    </row>
    <row r="21" spans="1:13" s="3" customFormat="1" ht="18.75">
      <c r="A21" s="7" t="s">
        <v>56</v>
      </c>
      <c r="C21" s="7"/>
      <c r="D21" s="4"/>
      <c r="E21" s="6"/>
      <c r="F21" s="5"/>
      <c r="G21" s="73">
        <v>234666</v>
      </c>
      <c r="H21" s="70"/>
      <c r="I21" s="73">
        <v>185798</v>
      </c>
      <c r="J21" s="70"/>
      <c r="K21" s="73">
        <v>88863</v>
      </c>
      <c r="L21" s="70"/>
      <c r="M21" s="73">
        <v>80520</v>
      </c>
    </row>
    <row r="22" spans="1:13" ht="18.75">
      <c r="A22" s="52" t="s">
        <v>3</v>
      </c>
      <c r="E22" s="16"/>
      <c r="G22" s="108">
        <f>SUM(G11:G12,G16:G21)</f>
        <v>3994132</v>
      </c>
      <c r="H22" s="106"/>
      <c r="I22" s="108">
        <f>SUM(I11:I12,I16:I21)</f>
        <v>2929728</v>
      </c>
      <c r="J22" s="106"/>
      <c r="K22" s="108">
        <f>SUM(K11:K12,K16:K21)</f>
        <v>1474873</v>
      </c>
      <c r="L22" s="106"/>
      <c r="M22" s="108">
        <f>SUM(M11:M12,M16:M21)</f>
        <v>988066</v>
      </c>
    </row>
    <row r="23" spans="1:13" ht="18.75">
      <c r="A23" s="52" t="s">
        <v>22</v>
      </c>
      <c r="E23" s="16"/>
      <c r="G23" s="106"/>
      <c r="H23" s="106"/>
      <c r="I23" s="106"/>
      <c r="J23" s="106"/>
      <c r="K23" s="106"/>
      <c r="L23" s="106"/>
      <c r="M23" s="106"/>
    </row>
    <row r="24" spans="1:13" ht="18.75">
      <c r="A24" s="7" t="s">
        <v>86</v>
      </c>
      <c r="E24" s="16"/>
      <c r="G24" s="106">
        <v>17675</v>
      </c>
      <c r="H24" s="106"/>
      <c r="I24" s="106">
        <v>17270</v>
      </c>
      <c r="J24" s="106"/>
      <c r="K24" s="70">
        <v>0</v>
      </c>
      <c r="L24" s="106"/>
      <c r="M24" s="70">
        <v>0</v>
      </c>
    </row>
    <row r="25" spans="1:13" s="3" customFormat="1" ht="18.75">
      <c r="A25" s="7" t="s">
        <v>158</v>
      </c>
      <c r="C25" s="4"/>
      <c r="D25" s="4"/>
      <c r="E25" s="6">
        <v>4</v>
      </c>
      <c r="F25" s="5"/>
      <c r="G25" s="70">
        <v>0</v>
      </c>
      <c r="H25" s="70"/>
      <c r="I25" s="70">
        <v>0</v>
      </c>
      <c r="J25" s="70"/>
      <c r="K25" s="106">
        <v>7325407</v>
      </c>
      <c r="L25" s="70"/>
      <c r="M25" s="106">
        <v>7104084</v>
      </c>
    </row>
    <row r="26" spans="1:13" s="3" customFormat="1" ht="18.75">
      <c r="A26" s="7" t="s">
        <v>168</v>
      </c>
      <c r="C26" s="4"/>
      <c r="D26" s="4"/>
      <c r="E26" s="6">
        <v>5</v>
      </c>
      <c r="F26" s="5"/>
      <c r="G26" s="70">
        <v>1688375</v>
      </c>
      <c r="H26" s="70"/>
      <c r="I26" s="70">
        <v>943466</v>
      </c>
      <c r="J26" s="70"/>
      <c r="K26" s="106">
        <v>1564949</v>
      </c>
      <c r="L26" s="70"/>
      <c r="M26" s="106">
        <v>862786</v>
      </c>
    </row>
    <row r="27" spans="1:13" s="3" customFormat="1" ht="18.75">
      <c r="A27" s="7" t="s">
        <v>87</v>
      </c>
      <c r="C27" s="4"/>
      <c r="D27" s="4"/>
      <c r="E27" s="6">
        <v>6</v>
      </c>
      <c r="F27" s="5"/>
      <c r="G27" s="70">
        <f>+I27</f>
        <v>55317</v>
      </c>
      <c r="H27" s="70"/>
      <c r="I27" s="70">
        <v>55317</v>
      </c>
      <c r="J27" s="70"/>
      <c r="K27" s="70">
        <f>+M27</f>
        <v>55317</v>
      </c>
      <c r="L27" s="70"/>
      <c r="M27" s="70">
        <v>55317</v>
      </c>
    </row>
    <row r="28" spans="1:13" s="3" customFormat="1" ht="18.75">
      <c r="A28" s="7" t="s">
        <v>57</v>
      </c>
      <c r="C28" s="4"/>
      <c r="D28" s="4"/>
      <c r="E28" s="6">
        <v>7</v>
      </c>
      <c r="F28" s="5"/>
      <c r="G28" s="70">
        <v>915465</v>
      </c>
      <c r="H28" s="70"/>
      <c r="I28" s="70">
        <v>915680</v>
      </c>
      <c r="J28" s="70"/>
      <c r="K28" s="70">
        <v>915175</v>
      </c>
      <c r="L28" s="70"/>
      <c r="M28" s="70">
        <v>915456</v>
      </c>
    </row>
    <row r="29" spans="1:13" s="3" customFormat="1" ht="18.75">
      <c r="A29" s="7" t="s">
        <v>88</v>
      </c>
      <c r="C29" s="4"/>
      <c r="D29" s="4"/>
      <c r="E29" s="6">
        <v>3</v>
      </c>
      <c r="F29" s="5"/>
      <c r="G29" s="70">
        <v>0</v>
      </c>
      <c r="H29" s="70"/>
      <c r="I29" s="70" t="s">
        <v>78</v>
      </c>
      <c r="J29" s="70"/>
      <c r="K29" s="70">
        <v>4208135</v>
      </c>
      <c r="L29" s="70"/>
      <c r="M29" s="70">
        <v>1201</v>
      </c>
    </row>
    <row r="30" spans="1:13" s="3" customFormat="1" ht="18.75">
      <c r="A30" s="7" t="s">
        <v>89</v>
      </c>
      <c r="C30" s="4"/>
      <c r="D30" s="4"/>
      <c r="E30" s="6">
        <v>3</v>
      </c>
      <c r="F30" s="5"/>
      <c r="G30" s="70">
        <v>0</v>
      </c>
      <c r="H30" s="70"/>
      <c r="I30" s="70" t="s">
        <v>78</v>
      </c>
      <c r="J30" s="70"/>
      <c r="K30" s="70">
        <v>57610</v>
      </c>
      <c r="L30" s="70"/>
      <c r="M30" s="70">
        <v>73610</v>
      </c>
    </row>
    <row r="31" spans="1:13" s="3" customFormat="1" ht="18.75">
      <c r="A31" s="7" t="s">
        <v>58</v>
      </c>
      <c r="C31" s="4"/>
      <c r="D31" s="4"/>
      <c r="E31" s="6">
        <v>8</v>
      </c>
      <c r="F31" s="5"/>
      <c r="G31" s="70">
        <v>19080752</v>
      </c>
      <c r="H31" s="70"/>
      <c r="I31" s="70">
        <v>19296305</v>
      </c>
      <c r="J31" s="70"/>
      <c r="K31" s="70">
        <v>5724529</v>
      </c>
      <c r="L31" s="70"/>
      <c r="M31" s="70">
        <v>5838857</v>
      </c>
    </row>
    <row r="32" spans="1:13" s="3" customFormat="1" ht="18.75">
      <c r="A32" s="7" t="s">
        <v>59</v>
      </c>
      <c r="C32" s="4"/>
      <c r="D32" s="4"/>
      <c r="E32" s="6"/>
      <c r="F32" s="5"/>
      <c r="G32" s="70">
        <f>+I32</f>
        <v>472414</v>
      </c>
      <c r="H32" s="70"/>
      <c r="I32" s="70">
        <v>472414</v>
      </c>
      <c r="J32" s="70"/>
      <c r="K32" s="70">
        <f>+M32</f>
        <v>472414</v>
      </c>
      <c r="L32" s="70"/>
      <c r="M32" s="70">
        <v>472414</v>
      </c>
    </row>
    <row r="33" spans="1:13" s="3" customFormat="1" ht="18.75">
      <c r="A33" s="7" t="s">
        <v>60</v>
      </c>
      <c r="C33" s="4"/>
      <c r="D33" s="4"/>
      <c r="E33" s="6"/>
      <c r="F33" s="5"/>
      <c r="G33" s="70">
        <f>+I33</f>
        <v>1015637</v>
      </c>
      <c r="H33" s="70"/>
      <c r="I33" s="70">
        <v>1015637</v>
      </c>
      <c r="J33" s="70"/>
      <c r="K33" s="70">
        <v>0</v>
      </c>
      <c r="L33" s="70"/>
      <c r="M33" s="70" t="s">
        <v>78</v>
      </c>
    </row>
    <row r="34" spans="1:13" s="3" customFormat="1" ht="18.75">
      <c r="A34" s="7" t="s">
        <v>241</v>
      </c>
      <c r="C34" s="4"/>
      <c r="D34" s="4"/>
      <c r="E34" s="6"/>
      <c r="F34" s="5"/>
      <c r="G34" s="70">
        <v>338332</v>
      </c>
      <c r="H34" s="70"/>
      <c r="I34" s="70">
        <v>330805</v>
      </c>
      <c r="J34" s="70"/>
      <c r="K34" s="70">
        <v>139251</v>
      </c>
      <c r="L34" s="70"/>
      <c r="M34" s="70">
        <v>109950</v>
      </c>
    </row>
    <row r="35" spans="1:13" s="3" customFormat="1" ht="18.75">
      <c r="A35" s="7" t="s">
        <v>61</v>
      </c>
      <c r="C35" s="4"/>
      <c r="D35" s="4"/>
      <c r="E35" s="6">
        <v>3</v>
      </c>
      <c r="F35" s="5"/>
      <c r="G35" s="73">
        <v>286135</v>
      </c>
      <c r="H35" s="70"/>
      <c r="I35" s="73">
        <v>255118</v>
      </c>
      <c r="J35" s="70"/>
      <c r="K35" s="73">
        <v>11498</v>
      </c>
      <c r="L35" s="70"/>
      <c r="M35" s="73">
        <v>10784</v>
      </c>
    </row>
    <row r="36" spans="1:13" ht="18.75">
      <c r="A36" s="52" t="s">
        <v>23</v>
      </c>
      <c r="G36" s="120">
        <f>SUM(G24:G35)</f>
        <v>23870102</v>
      </c>
      <c r="H36" s="106"/>
      <c r="I36" s="120">
        <f>SUM(I24:I35)</f>
        <v>23302012</v>
      </c>
      <c r="J36" s="70"/>
      <c r="K36" s="120">
        <f>SUM(K24:K35)</f>
        <v>20474285</v>
      </c>
      <c r="L36" s="106"/>
      <c r="M36" s="120">
        <f>SUM(M24:M35)</f>
        <v>15444459</v>
      </c>
    </row>
    <row r="37" spans="1:13" ht="19.5" thickBot="1">
      <c r="A37" s="52" t="s">
        <v>4</v>
      </c>
      <c r="G37" s="107">
        <f>G22+G36</f>
        <v>27864234</v>
      </c>
      <c r="H37" s="106"/>
      <c r="I37" s="107">
        <f>I22+I36</f>
        <v>26231740</v>
      </c>
      <c r="J37" s="70"/>
      <c r="K37" s="107">
        <f>K22+K36</f>
        <v>21949158</v>
      </c>
      <c r="L37" s="106"/>
      <c r="M37" s="107">
        <f>M22+M36</f>
        <v>16432525</v>
      </c>
    </row>
    <row r="38" spans="7:13" ht="19.5" thickTop="1">
      <c r="G38" s="67"/>
      <c r="I38" s="67"/>
      <c r="J38" s="67"/>
      <c r="K38" s="67"/>
      <c r="M38" s="67"/>
    </row>
    <row r="39" spans="1:13" ht="18.75">
      <c r="A39" s="80" t="s">
        <v>51</v>
      </c>
      <c r="G39" s="67"/>
      <c r="I39" s="67"/>
      <c r="J39" s="67"/>
      <c r="K39" s="67"/>
      <c r="M39" s="67"/>
    </row>
    <row r="40" spans="5:7" ht="18.75">
      <c r="E40" s="7"/>
      <c r="F40" s="7"/>
      <c r="G40" s="53"/>
    </row>
    <row r="41" spans="1:13" ht="18.75">
      <c r="A41" s="121"/>
      <c r="B41" s="121"/>
      <c r="C41" s="121"/>
      <c r="D41" s="121"/>
      <c r="E41" s="121"/>
      <c r="F41" s="121"/>
      <c r="H41" s="68"/>
      <c r="I41" s="68"/>
      <c r="J41" s="68"/>
      <c r="K41" s="68"/>
      <c r="L41" s="68"/>
      <c r="M41" s="68"/>
    </row>
    <row r="42" spans="1:13" ht="18.75">
      <c r="A42" s="121"/>
      <c r="B42" s="121"/>
      <c r="C42" s="121"/>
      <c r="D42" s="121"/>
      <c r="E42" s="121"/>
      <c r="F42" s="121"/>
      <c r="H42" s="68"/>
      <c r="I42" s="68"/>
      <c r="J42" s="68"/>
      <c r="K42" s="68"/>
      <c r="L42" s="68"/>
      <c r="M42" s="68"/>
    </row>
    <row r="43" spans="1:13" ht="18.75">
      <c r="A43" s="121"/>
      <c r="B43" s="121"/>
      <c r="C43" s="121"/>
      <c r="D43" s="121"/>
      <c r="E43" s="121"/>
      <c r="F43" s="121"/>
      <c r="H43" s="68"/>
      <c r="I43" s="68"/>
      <c r="J43" s="68"/>
      <c r="K43" s="68"/>
      <c r="L43" s="68"/>
      <c r="M43" s="68"/>
    </row>
    <row r="44" spans="1:13" ht="18.75">
      <c r="A44" s="121"/>
      <c r="B44" s="121"/>
      <c r="C44" s="121"/>
      <c r="D44" s="121"/>
      <c r="E44" s="121"/>
      <c r="F44" s="121"/>
      <c r="H44" s="68"/>
      <c r="I44" s="68"/>
      <c r="J44" s="68"/>
      <c r="K44" s="68"/>
      <c r="L44" s="68"/>
      <c r="M44" s="68"/>
    </row>
    <row r="45" spans="1:13" ht="18.75">
      <c r="A45" s="121"/>
      <c r="B45" s="121"/>
      <c r="C45" s="121"/>
      <c r="D45" s="121"/>
      <c r="E45" s="121"/>
      <c r="F45" s="121"/>
      <c r="H45" s="68"/>
      <c r="I45" s="68"/>
      <c r="J45" s="68"/>
      <c r="K45" s="68"/>
      <c r="L45" s="68"/>
      <c r="M45" s="68"/>
    </row>
    <row r="46" spans="1:13" ht="18.75">
      <c r="A46" s="121"/>
      <c r="B46" s="121"/>
      <c r="C46" s="121"/>
      <c r="D46" s="121"/>
      <c r="E46" s="121"/>
      <c r="F46" s="121"/>
      <c r="H46" s="68"/>
      <c r="I46" s="68"/>
      <c r="J46" s="68"/>
      <c r="K46" s="68"/>
      <c r="L46" s="68"/>
      <c r="M46" s="68"/>
    </row>
    <row r="47" spans="1:13" ht="18.75">
      <c r="A47" s="121"/>
      <c r="B47" s="121"/>
      <c r="C47" s="121"/>
      <c r="D47" s="121"/>
      <c r="E47" s="121"/>
      <c r="F47" s="121"/>
      <c r="H47" s="68"/>
      <c r="I47" s="68"/>
      <c r="J47" s="68"/>
      <c r="K47" s="68"/>
      <c r="L47" s="68"/>
      <c r="M47" s="68"/>
    </row>
    <row r="48" spans="1:13" ht="18.75">
      <c r="A48" s="121"/>
      <c r="B48" s="121"/>
      <c r="C48" s="121"/>
      <c r="D48" s="121"/>
      <c r="E48" s="121"/>
      <c r="F48" s="121"/>
      <c r="H48" s="68"/>
      <c r="I48" s="68"/>
      <c r="J48" s="68"/>
      <c r="K48" s="68"/>
      <c r="L48" s="68"/>
      <c r="M48" s="68"/>
    </row>
    <row r="49" spans="7:13" ht="18.75">
      <c r="G49" s="67"/>
      <c r="I49" s="67"/>
      <c r="J49" s="67"/>
      <c r="K49" s="67"/>
      <c r="M49" s="67"/>
    </row>
    <row r="50" spans="7:13" ht="18.75">
      <c r="G50" s="67"/>
      <c r="I50" s="67"/>
      <c r="J50" s="67"/>
      <c r="K50" s="67"/>
      <c r="M50" s="67"/>
    </row>
    <row r="51" spans="7:13" ht="18.75">
      <c r="G51" s="67"/>
      <c r="I51" s="67"/>
      <c r="J51" s="67"/>
      <c r="K51" s="67"/>
      <c r="M51" s="67"/>
    </row>
    <row r="52" spans="1:13" s="80" customFormat="1" ht="18.75">
      <c r="A52" s="150" t="s">
        <v>193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</row>
    <row r="53" spans="1:13" ht="18.75">
      <c r="A53" s="149" t="s">
        <v>53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</row>
    <row r="54" spans="1:13" ht="18.75">
      <c r="A54" s="149" t="s">
        <v>52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</row>
    <row r="55" spans="1:13" ht="18.75">
      <c r="A55" s="110"/>
      <c r="B55" s="110"/>
      <c r="C55" s="110"/>
      <c r="D55" s="110"/>
      <c r="G55" s="77"/>
      <c r="H55" s="110"/>
      <c r="I55" s="110"/>
      <c r="J55" s="110"/>
      <c r="K55" s="110"/>
      <c r="L55" s="110"/>
      <c r="M55" s="111" t="s">
        <v>196</v>
      </c>
    </row>
    <row r="56" spans="7:13" s="112" customFormat="1" ht="18.75">
      <c r="G56" s="74"/>
      <c r="H56" s="74" t="s">
        <v>43</v>
      </c>
      <c r="I56" s="74"/>
      <c r="J56" s="80"/>
      <c r="K56" s="74"/>
      <c r="L56" s="74" t="s">
        <v>157</v>
      </c>
      <c r="M56" s="74"/>
    </row>
    <row r="57" spans="7:13" s="80" customFormat="1" ht="18.75">
      <c r="G57" s="75" t="s">
        <v>171</v>
      </c>
      <c r="H57" s="75"/>
      <c r="I57" s="75" t="s">
        <v>171</v>
      </c>
      <c r="K57" s="75" t="s">
        <v>171</v>
      </c>
      <c r="L57" s="75"/>
      <c r="M57" s="75" t="s">
        <v>171</v>
      </c>
    </row>
    <row r="58" spans="5:13" s="80" customFormat="1" ht="18.75">
      <c r="E58" s="113" t="s">
        <v>33</v>
      </c>
      <c r="G58" s="114" t="s">
        <v>222</v>
      </c>
      <c r="H58" s="75"/>
      <c r="I58" s="74" t="str">
        <f>"31 ธันวาคม 2550"</f>
        <v>31 ธันวาคม 2550</v>
      </c>
      <c r="K58" s="114" t="s">
        <v>222</v>
      </c>
      <c r="L58" s="75"/>
      <c r="M58" s="74" t="str">
        <f>"31 ธันวาคม 2550"</f>
        <v>31 ธันวาคม 2550</v>
      </c>
    </row>
    <row r="59" spans="5:13" s="80" customFormat="1" ht="18.75">
      <c r="E59" s="113"/>
      <c r="F59" s="115"/>
      <c r="G59" s="75" t="s">
        <v>172</v>
      </c>
      <c r="H59" s="116"/>
      <c r="I59" s="75" t="s">
        <v>173</v>
      </c>
      <c r="J59" s="115"/>
      <c r="K59" s="75" t="s">
        <v>172</v>
      </c>
      <c r="L59" s="116"/>
      <c r="M59" s="75" t="s">
        <v>173</v>
      </c>
    </row>
    <row r="60" spans="5:13" s="80" customFormat="1" ht="18.75">
      <c r="E60" s="113"/>
      <c r="F60" s="115"/>
      <c r="G60" s="75" t="s">
        <v>174</v>
      </c>
      <c r="H60" s="116"/>
      <c r="I60" s="75"/>
      <c r="J60" s="115"/>
      <c r="K60" s="75" t="s">
        <v>174</v>
      </c>
      <c r="L60" s="116"/>
      <c r="M60" s="75"/>
    </row>
    <row r="61" spans="1:13" ht="18.75">
      <c r="A61" s="101" t="s">
        <v>5</v>
      </c>
      <c r="B61" s="110"/>
      <c r="C61" s="110"/>
      <c r="E61" s="16"/>
      <c r="H61" s="122"/>
      <c r="I61" s="68"/>
      <c r="J61" s="122"/>
      <c r="K61" s="122"/>
      <c r="L61" s="122"/>
      <c r="M61" s="122"/>
    </row>
    <row r="62" spans="1:9" ht="18.75">
      <c r="A62" s="52" t="s">
        <v>6</v>
      </c>
      <c r="E62" s="16"/>
      <c r="I62" s="68"/>
    </row>
    <row r="63" spans="1:13" s="3" customFormat="1" ht="18.75">
      <c r="A63" s="7" t="s">
        <v>75</v>
      </c>
      <c r="B63" s="7"/>
      <c r="C63" s="4"/>
      <c r="D63" s="4"/>
      <c r="E63" s="6"/>
      <c r="F63" s="5"/>
      <c r="G63" s="70">
        <v>24039</v>
      </c>
      <c r="H63" s="70"/>
      <c r="I63" s="70">
        <v>817695</v>
      </c>
      <c r="J63" s="70"/>
      <c r="K63" s="70">
        <v>0</v>
      </c>
      <c r="L63" s="70"/>
      <c r="M63" s="70">
        <v>680200</v>
      </c>
    </row>
    <row r="64" spans="1:13" s="3" customFormat="1" ht="18.75">
      <c r="A64" s="7" t="s">
        <v>143</v>
      </c>
      <c r="B64" s="7"/>
      <c r="C64" s="4"/>
      <c r="D64" s="4"/>
      <c r="E64" s="6">
        <v>3</v>
      </c>
      <c r="F64" s="5"/>
      <c r="G64" s="70">
        <v>0</v>
      </c>
      <c r="H64" s="70"/>
      <c r="I64" s="70">
        <v>13627</v>
      </c>
      <c r="J64" s="70"/>
      <c r="K64" s="70">
        <v>0</v>
      </c>
      <c r="L64" s="70"/>
      <c r="M64" s="70">
        <v>0</v>
      </c>
    </row>
    <row r="65" spans="1:13" s="3" customFormat="1" ht="18.75">
      <c r="A65" s="7" t="s">
        <v>7</v>
      </c>
      <c r="B65" s="7"/>
      <c r="C65" s="4"/>
      <c r="D65" s="4"/>
      <c r="E65" s="6"/>
      <c r="F65" s="5"/>
      <c r="G65" s="70"/>
      <c r="H65" s="70"/>
      <c r="I65" s="70"/>
      <c r="J65" s="70"/>
      <c r="K65" s="70"/>
      <c r="L65" s="70"/>
      <c r="M65" s="70"/>
    </row>
    <row r="66" spans="1:13" s="3" customFormat="1" ht="18.75">
      <c r="A66" s="7" t="s">
        <v>90</v>
      </c>
      <c r="B66" s="7" t="s">
        <v>83</v>
      </c>
      <c r="D66" s="4"/>
      <c r="E66" s="6">
        <v>3</v>
      </c>
      <c r="F66" s="5"/>
      <c r="G66" s="71">
        <v>18955</v>
      </c>
      <c r="H66" s="70"/>
      <c r="I66" s="71">
        <v>11126</v>
      </c>
      <c r="J66" s="70"/>
      <c r="K66" s="71">
        <v>38904</v>
      </c>
      <c r="L66" s="70"/>
      <c r="M66" s="71">
        <v>45443</v>
      </c>
    </row>
    <row r="67" spans="1:13" s="3" customFormat="1" ht="18.75">
      <c r="A67" s="7"/>
      <c r="B67" s="7" t="s">
        <v>144</v>
      </c>
      <c r="D67" s="4"/>
      <c r="E67" s="6"/>
      <c r="F67" s="5"/>
      <c r="G67" s="72">
        <v>877893</v>
      </c>
      <c r="H67" s="70"/>
      <c r="I67" s="72">
        <v>843671</v>
      </c>
      <c r="J67" s="70"/>
      <c r="K67" s="72">
        <v>288078</v>
      </c>
      <c r="L67" s="70"/>
      <c r="M67" s="72">
        <v>278806</v>
      </c>
    </row>
    <row r="68" spans="1:13" s="3" customFormat="1" ht="18.75">
      <c r="A68" s="7" t="s">
        <v>91</v>
      </c>
      <c r="B68" s="7"/>
      <c r="C68" s="4"/>
      <c r="D68" s="4"/>
      <c r="F68" s="5"/>
      <c r="G68" s="70">
        <f>SUM(G66:G67)</f>
        <v>896848</v>
      </c>
      <c r="H68" s="70"/>
      <c r="I68" s="70">
        <f>SUM(I66:I67)</f>
        <v>854797</v>
      </c>
      <c r="J68" s="70"/>
      <c r="K68" s="70">
        <f>SUM(K66:K67)</f>
        <v>326982</v>
      </c>
      <c r="L68" s="70"/>
      <c r="M68" s="70">
        <f>SUM(M66:M67)</f>
        <v>324249</v>
      </c>
    </row>
    <row r="69" spans="1:13" s="3" customFormat="1" ht="18.75">
      <c r="A69" s="7" t="s">
        <v>242</v>
      </c>
      <c r="B69" s="7"/>
      <c r="C69" s="4"/>
      <c r="D69" s="4"/>
      <c r="E69" s="6">
        <v>9</v>
      </c>
      <c r="F69" s="5"/>
      <c r="G69" s="70">
        <v>362400</v>
      </c>
      <c r="H69" s="70"/>
      <c r="I69" s="70">
        <v>1070391</v>
      </c>
      <c r="J69" s="70"/>
      <c r="K69" s="70">
        <v>343800</v>
      </c>
      <c r="L69" s="70"/>
      <c r="M69" s="70">
        <v>387072</v>
      </c>
    </row>
    <row r="70" spans="1:13" s="3" customFormat="1" ht="18.75">
      <c r="A70" s="7" t="s">
        <v>92</v>
      </c>
      <c r="B70" s="7"/>
      <c r="C70" s="4"/>
      <c r="D70" s="4"/>
      <c r="E70" s="6"/>
      <c r="F70" s="5"/>
      <c r="G70" s="70"/>
      <c r="H70" s="70"/>
      <c r="I70" s="70"/>
      <c r="J70" s="70"/>
      <c r="K70" s="70"/>
      <c r="L70" s="70"/>
      <c r="M70" s="70"/>
    </row>
    <row r="71" spans="1:13" s="3" customFormat="1" ht="18.75">
      <c r="A71" s="7" t="s">
        <v>243</v>
      </c>
      <c r="B71" s="7"/>
      <c r="C71" s="4"/>
      <c r="D71" s="4"/>
      <c r="E71" s="6">
        <v>10</v>
      </c>
      <c r="F71" s="5"/>
      <c r="G71" s="70">
        <v>108550</v>
      </c>
      <c r="H71" s="70"/>
      <c r="I71" s="70">
        <v>118001</v>
      </c>
      <c r="J71" s="70"/>
      <c r="K71" s="70">
        <v>16384</v>
      </c>
      <c r="L71" s="70"/>
      <c r="M71" s="70">
        <v>15356</v>
      </c>
    </row>
    <row r="72" spans="1:13" s="3" customFormat="1" ht="18.75">
      <c r="A72" s="7" t="s">
        <v>111</v>
      </c>
      <c r="B72" s="7"/>
      <c r="C72" s="4"/>
      <c r="D72" s="4"/>
      <c r="F72" s="5"/>
      <c r="G72" s="70">
        <v>236201</v>
      </c>
      <c r="H72" s="70"/>
      <c r="I72" s="70">
        <v>210788</v>
      </c>
      <c r="J72" s="70"/>
      <c r="K72" s="106">
        <v>36908</v>
      </c>
      <c r="L72" s="70"/>
      <c r="M72" s="106">
        <v>51571</v>
      </c>
    </row>
    <row r="73" spans="1:13" s="3" customFormat="1" ht="18.75">
      <c r="A73" s="7" t="s">
        <v>141</v>
      </c>
      <c r="B73" s="7"/>
      <c r="C73" s="4"/>
      <c r="D73" s="4"/>
      <c r="E73" s="6">
        <v>3</v>
      </c>
      <c r="F73" s="5"/>
      <c r="G73" s="70">
        <v>44503</v>
      </c>
      <c r="H73" s="70"/>
      <c r="I73" s="70">
        <v>42517</v>
      </c>
      <c r="J73" s="70"/>
      <c r="K73" s="70">
        <v>13510</v>
      </c>
      <c r="L73" s="70"/>
      <c r="M73" s="70">
        <v>41897</v>
      </c>
    </row>
    <row r="74" spans="1:13" s="3" customFormat="1" ht="18.75">
      <c r="A74" s="7" t="s">
        <v>112</v>
      </c>
      <c r="B74" s="7"/>
      <c r="C74" s="4"/>
      <c r="D74" s="4"/>
      <c r="E74" s="6"/>
      <c r="F74" s="5"/>
      <c r="G74" s="70">
        <v>314135</v>
      </c>
      <c r="H74" s="70"/>
      <c r="I74" s="70">
        <v>227726</v>
      </c>
      <c r="J74" s="70"/>
      <c r="K74" s="70">
        <v>115541</v>
      </c>
      <c r="L74" s="70"/>
      <c r="M74" s="70">
        <v>102780</v>
      </c>
    </row>
    <row r="75" spans="1:13" s="3" customFormat="1" ht="18.75">
      <c r="A75" s="7" t="s">
        <v>62</v>
      </c>
      <c r="B75" s="7"/>
      <c r="C75" s="4"/>
      <c r="D75" s="4"/>
      <c r="E75" s="6"/>
      <c r="F75" s="5"/>
      <c r="G75" s="70">
        <f>588338+411728+143432</f>
        <v>1143498</v>
      </c>
      <c r="H75" s="70"/>
      <c r="I75" s="70">
        <v>877951</v>
      </c>
      <c r="J75" s="70"/>
      <c r="K75" s="70">
        <f>144138+224111+143429</f>
        <v>511678</v>
      </c>
      <c r="L75" s="70"/>
      <c r="M75" s="70">
        <v>362678</v>
      </c>
    </row>
    <row r="76" spans="1:13" s="3" customFormat="1" ht="18.75">
      <c r="A76" s="7" t="s">
        <v>8</v>
      </c>
      <c r="B76" s="7"/>
      <c r="C76" s="4"/>
      <c r="D76" s="4"/>
      <c r="E76" s="6"/>
      <c r="F76" s="5"/>
      <c r="G76" s="73">
        <f>308218+142423</f>
        <v>450641</v>
      </c>
      <c r="H76" s="70"/>
      <c r="I76" s="73">
        <v>639594</v>
      </c>
      <c r="J76" s="70"/>
      <c r="K76" s="73">
        <f>82116+63570-1</f>
        <v>145685</v>
      </c>
      <c r="L76" s="70"/>
      <c r="M76" s="73">
        <v>161819</v>
      </c>
    </row>
    <row r="77" spans="1:13" ht="18.75">
      <c r="A77" s="52" t="s">
        <v>9</v>
      </c>
      <c r="E77" s="16"/>
      <c r="G77" s="108">
        <f>SUM(G63:G76)-G68</f>
        <v>3580815</v>
      </c>
      <c r="H77" s="106"/>
      <c r="I77" s="108">
        <f>SUM(I63:I76)-I68</f>
        <v>4873087</v>
      </c>
      <c r="J77" s="70"/>
      <c r="K77" s="108">
        <f>SUM(K63:K76)-K68</f>
        <v>1510488</v>
      </c>
      <c r="L77" s="70"/>
      <c r="M77" s="108">
        <f>SUM(M63:M76)-M68</f>
        <v>2127622</v>
      </c>
    </row>
    <row r="78" spans="1:13" ht="18.75">
      <c r="A78" s="52" t="s">
        <v>24</v>
      </c>
      <c r="E78" s="16"/>
      <c r="G78" s="106"/>
      <c r="H78" s="106"/>
      <c r="I78" s="106"/>
      <c r="J78" s="70"/>
      <c r="K78" s="70"/>
      <c r="L78" s="70"/>
      <c r="M78" s="70"/>
    </row>
    <row r="79" spans="1:13" s="3" customFormat="1" ht="18.75">
      <c r="A79" s="7" t="s">
        <v>244</v>
      </c>
      <c r="C79" s="4"/>
      <c r="D79" s="4"/>
      <c r="E79" s="6">
        <v>9</v>
      </c>
      <c r="F79" s="5"/>
      <c r="G79" s="70">
        <v>3148922</v>
      </c>
      <c r="H79" s="70"/>
      <c r="I79" s="70">
        <v>5680207</v>
      </c>
      <c r="J79" s="70"/>
      <c r="K79" s="70">
        <v>2979600</v>
      </c>
      <c r="L79" s="70"/>
      <c r="M79" s="70">
        <v>1548022</v>
      </c>
    </row>
    <row r="80" spans="1:13" s="3" customFormat="1" ht="18.75">
      <c r="A80" s="7" t="s">
        <v>94</v>
      </c>
      <c r="C80" s="4"/>
      <c r="D80" s="4"/>
      <c r="E80" s="6"/>
      <c r="F80" s="5"/>
      <c r="G80" s="70"/>
      <c r="H80" s="70"/>
      <c r="I80" s="70"/>
      <c r="J80" s="70"/>
      <c r="K80" s="70"/>
      <c r="L80" s="70"/>
      <c r="M80" s="70"/>
    </row>
    <row r="81" spans="1:13" s="3" customFormat="1" ht="18.75">
      <c r="A81" s="7" t="s">
        <v>243</v>
      </c>
      <c r="C81" s="4"/>
      <c r="D81" s="4"/>
      <c r="E81" s="6">
        <v>10</v>
      </c>
      <c r="F81" s="5"/>
      <c r="G81" s="70">
        <v>129766</v>
      </c>
      <c r="H81" s="70"/>
      <c r="I81" s="70">
        <v>170333</v>
      </c>
      <c r="J81" s="70"/>
      <c r="K81" s="70">
        <f>4692</f>
        <v>4692</v>
      </c>
      <c r="L81" s="70"/>
      <c r="M81" s="70">
        <v>10000</v>
      </c>
    </row>
    <row r="82" spans="1:13" s="3" customFormat="1" ht="18.75">
      <c r="A82" s="7" t="s">
        <v>120</v>
      </c>
      <c r="C82" s="4"/>
      <c r="D82" s="4"/>
      <c r="E82" s="6">
        <v>15</v>
      </c>
      <c r="F82" s="5"/>
      <c r="G82" s="70">
        <v>3561560</v>
      </c>
      <c r="H82" s="70"/>
      <c r="I82" s="70">
        <v>3528017</v>
      </c>
      <c r="J82" s="70"/>
      <c r="K82" s="70">
        <v>3561560</v>
      </c>
      <c r="L82" s="70"/>
      <c r="M82" s="70">
        <v>3528017</v>
      </c>
    </row>
    <row r="83" spans="1:13" s="3" customFormat="1" ht="18.75">
      <c r="A83" s="7" t="s">
        <v>124</v>
      </c>
      <c r="C83" s="4"/>
      <c r="D83" s="4"/>
      <c r="E83" s="6">
        <v>16</v>
      </c>
      <c r="F83" s="5"/>
      <c r="G83" s="70">
        <f>+K83</f>
        <v>4992724</v>
      </c>
      <c r="H83" s="70"/>
      <c r="I83" s="70" t="s">
        <v>78</v>
      </c>
      <c r="J83" s="70"/>
      <c r="K83" s="70">
        <v>4992724</v>
      </c>
      <c r="L83" s="70"/>
      <c r="M83" s="70" t="s">
        <v>78</v>
      </c>
    </row>
    <row r="84" spans="1:13" s="3" customFormat="1" ht="18.75">
      <c r="A84" s="7" t="s">
        <v>63</v>
      </c>
      <c r="C84" s="4"/>
      <c r="D84" s="4"/>
      <c r="E84" s="6"/>
      <c r="F84" s="5"/>
      <c r="G84" s="70">
        <f>+K84</f>
        <v>241761</v>
      </c>
      <c r="H84" s="70"/>
      <c r="I84" s="70">
        <v>252604</v>
      </c>
      <c r="J84" s="70"/>
      <c r="K84" s="70">
        <v>241761</v>
      </c>
      <c r="L84" s="70"/>
      <c r="M84" s="70">
        <v>252604</v>
      </c>
    </row>
    <row r="85" spans="1:13" s="3" customFormat="1" ht="18.75">
      <c r="A85" s="7" t="s">
        <v>64</v>
      </c>
      <c r="C85" s="4"/>
      <c r="D85" s="4"/>
      <c r="E85" s="6"/>
      <c r="F85" s="5"/>
      <c r="G85" s="73">
        <v>24932</v>
      </c>
      <c r="H85" s="70"/>
      <c r="I85" s="73">
        <v>17500</v>
      </c>
      <c r="J85" s="70"/>
      <c r="K85" s="73">
        <f>7433</f>
        <v>7433</v>
      </c>
      <c r="L85" s="70"/>
      <c r="M85" s="73">
        <v>4924</v>
      </c>
    </row>
    <row r="86" spans="1:13" ht="18.75">
      <c r="A86" s="52" t="s">
        <v>76</v>
      </c>
      <c r="E86" s="16"/>
      <c r="G86" s="108">
        <f>SUM(G79:G85)</f>
        <v>12099665</v>
      </c>
      <c r="H86" s="106"/>
      <c r="I86" s="108">
        <f>SUM(I79:I85)</f>
        <v>9648661</v>
      </c>
      <c r="J86" s="70"/>
      <c r="K86" s="108">
        <f>SUM(K79:K85)</f>
        <v>11787770</v>
      </c>
      <c r="L86" s="106"/>
      <c r="M86" s="108">
        <f>SUM(M79:M85)</f>
        <v>5343567</v>
      </c>
    </row>
    <row r="87" spans="1:13" ht="18.75">
      <c r="A87" s="52" t="s">
        <v>10</v>
      </c>
      <c r="E87" s="16"/>
      <c r="G87" s="108">
        <f>SUM(G77+G86)</f>
        <v>15680480</v>
      </c>
      <c r="H87" s="106"/>
      <c r="I87" s="108">
        <f>SUM(I77+I86)</f>
        <v>14521748</v>
      </c>
      <c r="J87" s="70"/>
      <c r="K87" s="108">
        <f>SUM(K77+K86)</f>
        <v>13298258</v>
      </c>
      <c r="L87" s="106"/>
      <c r="M87" s="108">
        <f>SUM(M77+M86)</f>
        <v>7471189</v>
      </c>
    </row>
    <row r="88" spans="5:13" ht="18.75">
      <c r="E88" s="16"/>
      <c r="G88" s="67"/>
      <c r="I88" s="67"/>
      <c r="J88" s="67"/>
      <c r="K88" s="67"/>
      <c r="M88" s="67"/>
    </row>
    <row r="89" spans="1:13" ht="18.75">
      <c r="A89" s="80" t="s">
        <v>51</v>
      </c>
      <c r="E89" s="16"/>
      <c r="G89" s="67"/>
      <c r="I89" s="67"/>
      <c r="J89" s="67"/>
      <c r="K89" s="67"/>
      <c r="M89" s="67"/>
    </row>
    <row r="90" spans="5:13" ht="18.75">
      <c r="E90" s="16"/>
      <c r="G90" s="67"/>
      <c r="I90" s="67"/>
      <c r="J90" s="67"/>
      <c r="K90" s="67"/>
      <c r="M90" s="67"/>
    </row>
    <row r="91" spans="5:13" ht="18.75">
      <c r="E91" s="16"/>
      <c r="G91" s="67"/>
      <c r="I91" s="67"/>
      <c r="J91" s="67"/>
      <c r="K91" s="67"/>
      <c r="M91" s="67"/>
    </row>
    <row r="92" spans="5:13" ht="18.75">
      <c r="E92" s="16"/>
      <c r="G92" s="67"/>
      <c r="I92" s="67"/>
      <c r="J92" s="67"/>
      <c r="K92" s="67"/>
      <c r="M92" s="67"/>
    </row>
    <row r="93" spans="5:13" ht="18.75">
      <c r="E93" s="16"/>
      <c r="G93" s="67"/>
      <c r="I93" s="67"/>
      <c r="J93" s="67"/>
      <c r="K93" s="67"/>
      <c r="M93" s="67"/>
    </row>
    <row r="94" spans="5:13" ht="18.75">
      <c r="E94" s="16"/>
      <c r="G94" s="67"/>
      <c r="I94" s="67"/>
      <c r="J94" s="67"/>
      <c r="K94" s="67"/>
      <c r="M94" s="67"/>
    </row>
    <row r="95" spans="5:13" ht="18.75">
      <c r="E95" s="16"/>
      <c r="G95" s="67"/>
      <c r="I95" s="67"/>
      <c r="J95" s="67"/>
      <c r="K95" s="67"/>
      <c r="M95" s="67"/>
    </row>
    <row r="96" spans="5:13" ht="18.75">
      <c r="E96" s="16"/>
      <c r="G96" s="67"/>
      <c r="I96" s="67"/>
      <c r="J96" s="67"/>
      <c r="K96" s="67"/>
      <c r="M96" s="67"/>
    </row>
    <row r="97" spans="5:13" ht="18.75">
      <c r="E97" s="16"/>
      <c r="G97" s="67"/>
      <c r="I97" s="67"/>
      <c r="J97" s="67"/>
      <c r="K97" s="67"/>
      <c r="M97" s="67"/>
    </row>
    <row r="98" spans="5:13" ht="18.75">
      <c r="E98" s="16"/>
      <c r="G98" s="67"/>
      <c r="I98" s="67"/>
      <c r="J98" s="67"/>
      <c r="K98" s="67"/>
      <c r="M98" s="67"/>
    </row>
    <row r="99" spans="5:13" ht="18.75">
      <c r="E99" s="16"/>
      <c r="G99" s="67"/>
      <c r="I99" s="67"/>
      <c r="J99" s="67"/>
      <c r="K99" s="67"/>
      <c r="M99" s="67"/>
    </row>
    <row r="100" spans="5:13" ht="18.75">
      <c r="E100" s="16"/>
      <c r="G100" s="67"/>
      <c r="I100" s="67"/>
      <c r="J100" s="67"/>
      <c r="K100" s="67"/>
      <c r="M100" s="67"/>
    </row>
    <row r="101" spans="5:13" ht="18.75">
      <c r="E101" s="16"/>
      <c r="G101" s="67"/>
      <c r="I101" s="67"/>
      <c r="J101" s="67"/>
      <c r="K101" s="67"/>
      <c r="M101" s="67"/>
    </row>
    <row r="102" spans="5:13" ht="18.75">
      <c r="E102" s="16"/>
      <c r="G102" s="67"/>
      <c r="I102" s="67"/>
      <c r="J102" s="67"/>
      <c r="K102" s="67"/>
      <c r="M102" s="67"/>
    </row>
    <row r="103" spans="5:13" ht="18.75">
      <c r="E103" s="16"/>
      <c r="G103" s="67"/>
      <c r="I103" s="67"/>
      <c r="J103" s="67"/>
      <c r="K103" s="67"/>
      <c r="M103" s="67"/>
    </row>
    <row r="104" spans="1:13" s="80" customFormat="1" ht="18.75">
      <c r="A104" s="150" t="s">
        <v>194</v>
      </c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</row>
    <row r="105" spans="1:13" ht="18.75">
      <c r="A105" s="149" t="s">
        <v>53</v>
      </c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</row>
    <row r="106" spans="1:13" ht="18.75">
      <c r="A106" s="149" t="s">
        <v>52</v>
      </c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</row>
    <row r="107" spans="1:13" ht="18.75">
      <c r="A107" s="110"/>
      <c r="B107" s="110"/>
      <c r="C107" s="110"/>
      <c r="D107" s="110"/>
      <c r="G107" s="77"/>
      <c r="H107" s="110"/>
      <c r="I107" s="110"/>
      <c r="J107" s="110"/>
      <c r="K107" s="110"/>
      <c r="L107" s="110"/>
      <c r="M107" s="111" t="s">
        <v>196</v>
      </c>
    </row>
    <row r="108" spans="7:13" s="112" customFormat="1" ht="18.75">
      <c r="G108" s="74"/>
      <c r="H108" s="74" t="s">
        <v>43</v>
      </c>
      <c r="I108" s="74"/>
      <c r="J108" s="80"/>
      <c r="K108" s="74"/>
      <c r="L108" s="74" t="s">
        <v>157</v>
      </c>
      <c r="M108" s="74"/>
    </row>
    <row r="109" spans="7:13" s="80" customFormat="1" ht="18.75">
      <c r="G109" s="75" t="s">
        <v>171</v>
      </c>
      <c r="H109" s="75"/>
      <c r="I109" s="75" t="s">
        <v>171</v>
      </c>
      <c r="K109" s="75" t="s">
        <v>171</v>
      </c>
      <c r="L109" s="75"/>
      <c r="M109" s="75" t="s">
        <v>171</v>
      </c>
    </row>
    <row r="110" spans="5:13" s="80" customFormat="1" ht="18.75">
      <c r="E110" s="113" t="s">
        <v>33</v>
      </c>
      <c r="G110" s="114" t="s">
        <v>222</v>
      </c>
      <c r="H110" s="75"/>
      <c r="I110" s="74" t="str">
        <f>"31 ธันวาคม 2550"</f>
        <v>31 ธันวาคม 2550</v>
      </c>
      <c r="K110" s="114" t="s">
        <v>222</v>
      </c>
      <c r="L110" s="75"/>
      <c r="M110" s="74" t="str">
        <f>"31 ธันวาคม 2550"</f>
        <v>31 ธันวาคม 2550</v>
      </c>
    </row>
    <row r="111" spans="5:13" s="80" customFormat="1" ht="18.75">
      <c r="E111" s="113"/>
      <c r="F111" s="115"/>
      <c r="G111" s="75" t="s">
        <v>172</v>
      </c>
      <c r="H111" s="116"/>
      <c r="I111" s="75" t="s">
        <v>173</v>
      </c>
      <c r="J111" s="115"/>
      <c r="K111" s="75" t="s">
        <v>172</v>
      </c>
      <c r="L111" s="116"/>
      <c r="M111" s="75" t="s">
        <v>173</v>
      </c>
    </row>
    <row r="112" spans="5:13" s="80" customFormat="1" ht="18.75">
      <c r="E112" s="113"/>
      <c r="F112" s="115"/>
      <c r="G112" s="75" t="s">
        <v>174</v>
      </c>
      <c r="H112" s="116"/>
      <c r="I112" s="75"/>
      <c r="J112" s="115"/>
      <c r="K112" s="75" t="s">
        <v>174</v>
      </c>
      <c r="L112" s="116"/>
      <c r="M112" s="75"/>
    </row>
    <row r="113" spans="1:13" ht="18.75">
      <c r="A113" s="52" t="s">
        <v>11</v>
      </c>
      <c r="I113" s="67"/>
      <c r="J113" s="67"/>
      <c r="K113" s="67"/>
      <c r="L113" s="67"/>
      <c r="M113" s="67"/>
    </row>
    <row r="114" spans="1:13" ht="18.75">
      <c r="A114" s="7" t="s">
        <v>12</v>
      </c>
      <c r="E114" s="16">
        <v>15</v>
      </c>
      <c r="I114" s="67"/>
      <c r="J114" s="67"/>
      <c r="K114" s="67"/>
      <c r="L114" s="67"/>
      <c r="M114" s="67"/>
    </row>
    <row r="115" spans="1:13" s="19" customFormat="1" ht="18.75">
      <c r="A115" s="19" t="s">
        <v>170</v>
      </c>
      <c r="C115" s="20"/>
      <c r="D115" s="20"/>
      <c r="E115" s="16"/>
      <c r="F115" s="21"/>
      <c r="G115" s="69"/>
      <c r="H115" s="69"/>
      <c r="I115" s="69"/>
      <c r="J115" s="69"/>
      <c r="K115" s="69"/>
      <c r="L115" s="69"/>
      <c r="M115" s="69"/>
    </row>
    <row r="116" spans="2:13" s="19" customFormat="1" ht="19.5" thickBot="1">
      <c r="B116" s="19" t="s">
        <v>121</v>
      </c>
      <c r="D116" s="20"/>
      <c r="E116" s="22"/>
      <c r="F116" s="21"/>
      <c r="G116" s="102">
        <v>1312264</v>
      </c>
      <c r="H116" s="103"/>
      <c r="I116" s="102">
        <v>1312264</v>
      </c>
      <c r="J116" s="70"/>
      <c r="K116" s="102">
        <v>1312264</v>
      </c>
      <c r="L116" s="70"/>
      <c r="M116" s="102">
        <v>1312264</v>
      </c>
    </row>
    <row r="117" spans="1:13" s="19" customFormat="1" ht="19.5" thickTop="1">
      <c r="A117" s="19" t="s">
        <v>95</v>
      </c>
      <c r="C117" s="20"/>
      <c r="D117" s="20"/>
      <c r="E117" s="22"/>
      <c r="F117" s="21"/>
      <c r="G117" s="103"/>
      <c r="H117" s="103"/>
      <c r="I117" s="103"/>
      <c r="J117" s="70"/>
      <c r="K117" s="70"/>
      <c r="L117" s="70"/>
      <c r="M117" s="70"/>
    </row>
    <row r="118" spans="2:6" s="19" customFormat="1" ht="18.75">
      <c r="B118" s="19" t="s">
        <v>248</v>
      </c>
      <c r="D118" s="20"/>
      <c r="E118" s="22"/>
      <c r="F118" s="21"/>
    </row>
    <row r="119" spans="2:13" s="19" customFormat="1" ht="18.75">
      <c r="B119" s="19" t="s">
        <v>247</v>
      </c>
      <c r="D119" s="20"/>
      <c r="E119" s="22"/>
      <c r="F119" s="21"/>
      <c r="G119" s="70">
        <f>+'CE (2)'!D20</f>
        <v>1214499</v>
      </c>
      <c r="H119" s="103"/>
      <c r="I119" s="70">
        <v>1214131</v>
      </c>
      <c r="J119" s="70"/>
      <c r="K119" s="70">
        <f>+'CE (2)'!J53</f>
        <v>1214499</v>
      </c>
      <c r="L119" s="70"/>
      <c r="M119" s="70">
        <v>1214131</v>
      </c>
    </row>
    <row r="120" spans="1:13" s="3" customFormat="1" ht="18.75">
      <c r="A120" s="7" t="s">
        <v>49</v>
      </c>
      <c r="C120" s="9"/>
      <c r="D120" s="9"/>
      <c r="E120" s="8"/>
      <c r="F120" s="5"/>
      <c r="G120" s="70"/>
      <c r="H120" s="70"/>
      <c r="I120" s="70"/>
      <c r="J120" s="70"/>
      <c r="K120" s="70"/>
      <c r="L120" s="70"/>
      <c r="M120" s="70"/>
    </row>
    <row r="121" spans="2:13" s="3" customFormat="1" ht="18.75">
      <c r="B121" s="7" t="s">
        <v>25</v>
      </c>
      <c r="C121" s="9"/>
      <c r="E121" s="8"/>
      <c r="F121" s="5"/>
      <c r="G121" s="70">
        <f>+'CE (2)'!F20</f>
        <v>5829679</v>
      </c>
      <c r="H121" s="70"/>
      <c r="I121" s="70">
        <v>5816434</v>
      </c>
      <c r="J121" s="70"/>
      <c r="K121" s="70">
        <f>+'CE (2)'!L53</f>
        <v>5766755</v>
      </c>
      <c r="L121" s="70"/>
      <c r="M121" s="70">
        <v>5753510</v>
      </c>
    </row>
    <row r="122" spans="2:13" s="3" customFormat="1" ht="18.75">
      <c r="B122" s="7" t="s">
        <v>201</v>
      </c>
      <c r="C122" s="9"/>
      <c r="E122" s="8">
        <v>7</v>
      </c>
      <c r="F122" s="5"/>
      <c r="G122" s="70">
        <f>+'CE (2)'!H20</f>
        <v>-6774</v>
      </c>
      <c r="H122" s="70"/>
      <c r="I122" s="70">
        <v>-6491</v>
      </c>
      <c r="J122" s="70"/>
      <c r="K122" s="70">
        <f>+'CE (2)'!N53</f>
        <v>-360</v>
      </c>
      <c r="L122" s="70"/>
      <c r="M122" s="70">
        <f>-78-1</f>
        <v>-79</v>
      </c>
    </row>
    <row r="123" spans="2:13" s="3" customFormat="1" ht="18.75">
      <c r="B123" s="7" t="s">
        <v>165</v>
      </c>
      <c r="C123" s="9"/>
      <c r="E123" s="8"/>
      <c r="F123" s="5"/>
      <c r="G123" s="106">
        <f>+'CE (2)'!J20</f>
        <v>1175676</v>
      </c>
      <c r="H123" s="70"/>
      <c r="I123" s="106">
        <v>1156655</v>
      </c>
      <c r="J123" s="70"/>
      <c r="K123" s="106">
        <f>+'CE (2)'!P53</f>
        <v>728481</v>
      </c>
      <c r="L123" s="70"/>
      <c r="M123" s="106">
        <v>728481</v>
      </c>
    </row>
    <row r="124" spans="1:13" s="3" customFormat="1" ht="18.75">
      <c r="A124" s="19"/>
      <c r="B124" s="19" t="s">
        <v>122</v>
      </c>
      <c r="C124" s="9"/>
      <c r="E124" s="8"/>
      <c r="F124" s="5"/>
      <c r="G124" s="70">
        <f>+'CE (2)'!L20</f>
        <v>305000</v>
      </c>
      <c r="H124" s="70"/>
      <c r="I124" s="70">
        <v>305000</v>
      </c>
      <c r="J124" s="70"/>
      <c r="K124" s="70" t="s">
        <v>78</v>
      </c>
      <c r="L124" s="70"/>
      <c r="M124" s="70" t="s">
        <v>78</v>
      </c>
    </row>
    <row r="125" spans="1:13" s="50" customFormat="1" ht="18.75">
      <c r="A125" s="50" t="s">
        <v>147</v>
      </c>
      <c r="G125" s="103">
        <f>+'CE (2)'!N20</f>
        <v>-45260</v>
      </c>
      <c r="H125" s="103"/>
      <c r="I125" s="103">
        <v>-34702</v>
      </c>
      <c r="J125" s="103"/>
      <c r="K125" s="70" t="s">
        <v>78</v>
      </c>
      <c r="L125" s="103"/>
      <c r="M125" s="103" t="s">
        <v>78</v>
      </c>
    </row>
    <row r="126" spans="1:13" s="3" customFormat="1" ht="18.75">
      <c r="A126" s="19" t="s">
        <v>123</v>
      </c>
      <c r="C126" s="19"/>
      <c r="D126" s="9"/>
      <c r="E126" s="8">
        <v>15</v>
      </c>
      <c r="F126" s="5"/>
      <c r="G126" s="70">
        <f>+'CE (2)'!P20</f>
        <v>37212</v>
      </c>
      <c r="H126" s="70"/>
      <c r="I126" s="70">
        <v>37353</v>
      </c>
      <c r="J126" s="70"/>
      <c r="K126" s="70">
        <f>+'CE (2)'!R53</f>
        <v>37212</v>
      </c>
      <c r="L126" s="70"/>
      <c r="M126" s="70">
        <v>37353</v>
      </c>
    </row>
    <row r="127" spans="1:13" s="3" customFormat="1" ht="18.75">
      <c r="A127" s="7" t="s">
        <v>65</v>
      </c>
      <c r="C127" s="7"/>
      <c r="D127" s="9"/>
      <c r="E127" s="8"/>
      <c r="F127" s="5"/>
      <c r="G127" s="106"/>
      <c r="H127" s="70"/>
      <c r="I127" s="106"/>
      <c r="J127" s="70"/>
      <c r="K127" s="106"/>
      <c r="L127" s="70"/>
      <c r="M127" s="106"/>
    </row>
    <row r="128" spans="2:13" s="3" customFormat="1" ht="18.75">
      <c r="B128" s="7" t="s">
        <v>96</v>
      </c>
      <c r="D128" s="7"/>
      <c r="E128" s="8"/>
      <c r="F128" s="5"/>
      <c r="G128" s="70">
        <f>+'CE (2)'!R20</f>
        <v>131226</v>
      </c>
      <c r="H128" s="70"/>
      <c r="I128" s="70">
        <v>131226</v>
      </c>
      <c r="J128" s="70"/>
      <c r="K128" s="70">
        <f>+'CE (2)'!T53</f>
        <v>131226</v>
      </c>
      <c r="L128" s="70"/>
      <c r="M128" s="70">
        <v>131226</v>
      </c>
    </row>
    <row r="129" spans="2:13" s="3" customFormat="1" ht="18.75">
      <c r="B129" s="7" t="s">
        <v>26</v>
      </c>
      <c r="G129" s="73">
        <f>SUM('CE (2)'!T20)</f>
        <v>2923561</v>
      </c>
      <c r="H129" s="70"/>
      <c r="I129" s="73">
        <f>2494223+1</f>
        <v>2494224</v>
      </c>
      <c r="J129" s="70"/>
      <c r="K129" s="73">
        <f>SUM('CE (2)'!V53)</f>
        <v>773087</v>
      </c>
      <c r="L129" s="70"/>
      <c r="M129" s="73">
        <f>1096713+1</f>
        <v>1096714</v>
      </c>
    </row>
    <row r="130" spans="1:13" ht="18.75">
      <c r="A130" s="7" t="s">
        <v>97</v>
      </c>
      <c r="G130" s="106">
        <f>SUM(G119:G129)</f>
        <v>11564819</v>
      </c>
      <c r="H130" s="106"/>
      <c r="I130" s="106">
        <f>SUM(I119:I129)</f>
        <v>11113830</v>
      </c>
      <c r="J130" s="106"/>
      <c r="K130" s="106">
        <f>SUM(K119:K129)</f>
        <v>8650900</v>
      </c>
      <c r="L130" s="106"/>
      <c r="M130" s="106">
        <f>SUM(M119:M129)</f>
        <v>8961336</v>
      </c>
    </row>
    <row r="131" spans="1:14" ht="18.75">
      <c r="A131" s="7" t="s">
        <v>98</v>
      </c>
      <c r="G131" s="73">
        <f>SUM('CE (2)'!V20)</f>
        <v>618935</v>
      </c>
      <c r="H131" s="106"/>
      <c r="I131" s="73">
        <v>596162</v>
      </c>
      <c r="J131" s="106"/>
      <c r="K131" s="73" t="s">
        <v>78</v>
      </c>
      <c r="L131" s="106"/>
      <c r="M131" s="73" t="s">
        <v>78</v>
      </c>
      <c r="N131" s="79"/>
    </row>
    <row r="132" spans="1:13" ht="18.75">
      <c r="A132" s="52" t="s">
        <v>13</v>
      </c>
      <c r="G132" s="106">
        <f>SUM(G130:G131)</f>
        <v>12183754</v>
      </c>
      <c r="H132" s="106"/>
      <c r="I132" s="106">
        <f>SUM(I130:I131)</f>
        <v>11709992</v>
      </c>
      <c r="J132" s="106"/>
      <c r="K132" s="106">
        <f>SUM(K130:K131)</f>
        <v>8650900</v>
      </c>
      <c r="L132" s="106"/>
      <c r="M132" s="106">
        <f>SUM(M130:M131)</f>
        <v>8961336</v>
      </c>
    </row>
    <row r="133" spans="1:13" ht="19.5" thickBot="1">
      <c r="A133" s="52" t="s">
        <v>14</v>
      </c>
      <c r="G133" s="107">
        <f>SUM(G132+G87)</f>
        <v>27864234</v>
      </c>
      <c r="H133" s="106"/>
      <c r="I133" s="107">
        <f>SUM(I132+I87)</f>
        <v>26231740</v>
      </c>
      <c r="J133" s="70"/>
      <c r="K133" s="107">
        <f>SUM(K132+K87)</f>
        <v>21949158</v>
      </c>
      <c r="L133" s="106"/>
      <c r="M133" s="107">
        <f>SUM(M132+M87)</f>
        <v>16432525</v>
      </c>
    </row>
    <row r="134" spans="7:13" ht="19.5" thickTop="1">
      <c r="G134" s="70">
        <f>SUM(G133-G37)</f>
        <v>0</v>
      </c>
      <c r="H134" s="106"/>
      <c r="I134" s="70">
        <f>SUM(I133-I37)</f>
        <v>0</v>
      </c>
      <c r="J134" s="70"/>
      <c r="K134" s="70">
        <f>SUM(K133-K37)</f>
        <v>0</v>
      </c>
      <c r="L134" s="106"/>
      <c r="M134" s="70">
        <f>SUM(M133-M37)</f>
        <v>0</v>
      </c>
    </row>
    <row r="135" spans="1:13" ht="18.75">
      <c r="A135" s="80" t="s">
        <v>51</v>
      </c>
      <c r="B135" s="10"/>
      <c r="C135" s="10"/>
      <c r="D135" s="11"/>
      <c r="G135" s="67"/>
      <c r="I135" s="67"/>
      <c r="J135" s="67"/>
      <c r="K135" s="67"/>
      <c r="M135" s="67"/>
    </row>
    <row r="136" spans="1:13" ht="18.75">
      <c r="A136" s="10"/>
      <c r="B136" s="10"/>
      <c r="C136" s="10"/>
      <c r="D136" s="11"/>
      <c r="G136" s="67"/>
      <c r="I136" s="67"/>
      <c r="J136" s="67"/>
      <c r="K136" s="67"/>
      <c r="M136" s="67"/>
    </row>
    <row r="137" spans="1:13" ht="18.75">
      <c r="A137" s="12"/>
      <c r="B137" s="12"/>
      <c r="C137" s="12"/>
      <c r="D137" s="12"/>
      <c r="G137" s="67"/>
      <c r="I137" s="67"/>
      <c r="J137" s="67"/>
      <c r="K137" s="67"/>
      <c r="M137" s="67"/>
    </row>
    <row r="138" spans="1:13" ht="18.75">
      <c r="A138" s="10"/>
      <c r="B138" s="10"/>
      <c r="C138" s="10"/>
      <c r="D138" s="11"/>
      <c r="G138" s="67"/>
      <c r="I138" s="67"/>
      <c r="J138" s="67"/>
      <c r="K138" s="67"/>
      <c r="M138" s="67"/>
    </row>
    <row r="139" spans="1:13" ht="18.75">
      <c r="A139" s="10"/>
      <c r="C139" s="10"/>
      <c r="D139" s="11"/>
      <c r="E139" s="110" t="s">
        <v>118</v>
      </c>
      <c r="G139" s="67"/>
      <c r="I139" s="67"/>
      <c r="J139" s="67"/>
      <c r="K139" s="67"/>
      <c r="M139" s="67"/>
    </row>
    <row r="140" spans="1:13" ht="18.75">
      <c r="A140" s="12"/>
      <c r="B140" s="12"/>
      <c r="C140" s="12"/>
      <c r="D140" s="12"/>
      <c r="G140" s="67"/>
      <c r="I140" s="67"/>
      <c r="J140" s="67"/>
      <c r="K140" s="67"/>
      <c r="M140" s="67"/>
    </row>
    <row r="141" spans="7:13" ht="18.75">
      <c r="G141" s="67"/>
      <c r="I141" s="67"/>
      <c r="J141" s="67"/>
      <c r="K141" s="67"/>
      <c r="M141" s="67"/>
    </row>
    <row r="142" spans="7:13" ht="18.75">
      <c r="G142" s="67"/>
      <c r="I142" s="67"/>
      <c r="J142" s="67"/>
      <c r="K142" s="67"/>
      <c r="M142" s="67"/>
    </row>
    <row r="143" spans="7:13" ht="18.75">
      <c r="G143" s="67"/>
      <c r="I143" s="67"/>
      <c r="J143" s="67"/>
      <c r="K143" s="67"/>
      <c r="M143" s="67"/>
    </row>
    <row r="144" spans="7:13" ht="18.75">
      <c r="G144" s="67"/>
      <c r="I144" s="67"/>
      <c r="J144" s="67"/>
      <c r="K144" s="67"/>
      <c r="M144" s="67"/>
    </row>
    <row r="145" spans="7:13" ht="18.75">
      <c r="G145" s="67"/>
      <c r="I145" s="67"/>
      <c r="J145" s="67"/>
      <c r="K145" s="67"/>
      <c r="M145" s="67"/>
    </row>
    <row r="146" spans="7:13" ht="18.75">
      <c r="G146" s="67"/>
      <c r="I146" s="67"/>
      <c r="J146" s="67"/>
      <c r="K146" s="67"/>
      <c r="M146" s="67"/>
    </row>
    <row r="147" spans="7:13" ht="18.75">
      <c r="G147" s="67"/>
      <c r="I147" s="67"/>
      <c r="J147" s="67"/>
      <c r="K147" s="67"/>
      <c r="M147" s="67"/>
    </row>
    <row r="148" spans="7:13" ht="18.75">
      <c r="G148" s="67"/>
      <c r="I148" s="67"/>
      <c r="J148" s="67"/>
      <c r="K148" s="67"/>
      <c r="M148" s="67"/>
    </row>
    <row r="149" spans="7:13" ht="18.75">
      <c r="G149" s="67"/>
      <c r="I149" s="67"/>
      <c r="J149" s="67"/>
      <c r="K149" s="67"/>
      <c r="M149" s="67"/>
    </row>
    <row r="150" spans="7:13" ht="18.75">
      <c r="G150" s="67"/>
      <c r="I150" s="67"/>
      <c r="J150" s="67"/>
      <c r="K150" s="67"/>
      <c r="M150" s="67"/>
    </row>
    <row r="151" spans="7:13" ht="18.75">
      <c r="G151" s="67"/>
      <c r="I151" s="67"/>
      <c r="J151" s="67"/>
      <c r="K151" s="67"/>
      <c r="M151" s="67"/>
    </row>
    <row r="152" spans="7:13" ht="18.75">
      <c r="G152" s="67"/>
      <c r="I152" s="67"/>
      <c r="J152" s="67"/>
      <c r="K152" s="67"/>
      <c r="M152" s="67"/>
    </row>
    <row r="153" spans="7:13" ht="18.75">
      <c r="G153" s="67"/>
      <c r="I153" s="67"/>
      <c r="J153" s="67"/>
      <c r="K153" s="67"/>
      <c r="M153" s="67"/>
    </row>
    <row r="154" spans="7:13" ht="18.75">
      <c r="G154" s="67"/>
      <c r="I154" s="67"/>
      <c r="J154" s="67"/>
      <c r="K154" s="67"/>
      <c r="M154" s="67"/>
    </row>
    <row r="155" spans="7:13" ht="18.75">
      <c r="G155" s="67"/>
      <c r="I155" s="67"/>
      <c r="J155" s="67"/>
      <c r="K155" s="67"/>
      <c r="M155" s="67"/>
    </row>
    <row r="156" spans="1:13" ht="18.75">
      <c r="A156" s="150" t="s">
        <v>195</v>
      </c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</row>
    <row r="157" spans="1:13" ht="18.75">
      <c r="A157" s="53"/>
      <c r="B157" s="53"/>
      <c r="C157" s="53"/>
      <c r="D157" s="53"/>
      <c r="E157" s="123"/>
      <c r="F157" s="123"/>
      <c r="G157" s="53"/>
      <c r="K157" s="13"/>
      <c r="L157" s="7"/>
      <c r="M157" s="13" t="s">
        <v>175</v>
      </c>
    </row>
    <row r="158" spans="1:13" ht="18.75">
      <c r="A158" s="149" t="s">
        <v>53</v>
      </c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</row>
    <row r="159" spans="1:13" ht="18.75">
      <c r="A159" s="149" t="s">
        <v>15</v>
      </c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</row>
    <row r="160" spans="1:13" ht="18.75">
      <c r="A160" s="149" t="s">
        <v>224</v>
      </c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</row>
    <row r="161" spans="3:13" ht="18.75">
      <c r="C161" s="14"/>
      <c r="D161" s="14"/>
      <c r="E161" s="14"/>
      <c r="F161" s="124"/>
      <c r="G161" s="14"/>
      <c r="H161" s="14"/>
      <c r="I161" s="14"/>
      <c r="J161" s="14"/>
      <c r="K161" s="13"/>
      <c r="L161" s="7"/>
      <c r="M161" s="13" t="s">
        <v>197</v>
      </c>
    </row>
    <row r="162" spans="7:13" s="112" customFormat="1" ht="18.75">
      <c r="G162" s="74"/>
      <c r="H162" s="74" t="s">
        <v>43</v>
      </c>
      <c r="I162" s="74"/>
      <c r="J162" s="80"/>
      <c r="K162" s="74"/>
      <c r="L162" s="74" t="s">
        <v>157</v>
      </c>
      <c r="M162" s="74"/>
    </row>
    <row r="163" spans="5:13" s="80" customFormat="1" ht="18.75">
      <c r="E163" s="113"/>
      <c r="G163" s="125" t="s">
        <v>187</v>
      </c>
      <c r="H163" s="126"/>
      <c r="I163" s="125" t="s">
        <v>176</v>
      </c>
      <c r="J163" s="127"/>
      <c r="K163" s="125" t="s">
        <v>187</v>
      </c>
      <c r="L163" s="126"/>
      <c r="M163" s="125" t="s">
        <v>176</v>
      </c>
    </row>
    <row r="164" spans="5:13" s="80" customFormat="1" ht="18.75">
      <c r="E164" s="113"/>
      <c r="G164" s="128"/>
      <c r="H164" s="75"/>
      <c r="I164" s="128"/>
      <c r="K164" s="128"/>
      <c r="L164" s="75"/>
      <c r="M164" s="128"/>
    </row>
    <row r="165" spans="1:13" ht="18.75">
      <c r="A165" s="52" t="s">
        <v>30</v>
      </c>
      <c r="G165" s="77"/>
      <c r="H165" s="7"/>
      <c r="I165" s="77"/>
      <c r="J165" s="7"/>
      <c r="K165" s="7"/>
      <c r="L165" s="7"/>
      <c r="M165" s="7"/>
    </row>
    <row r="166" spans="1:13" s="3" customFormat="1" ht="18.75">
      <c r="A166" s="7" t="s">
        <v>66</v>
      </c>
      <c r="B166" s="4"/>
      <c r="C166" s="4"/>
      <c r="E166" s="5"/>
      <c r="F166" s="5"/>
      <c r="G166" s="70">
        <f>G218-5398549</f>
        <v>5114248</v>
      </c>
      <c r="H166" s="70"/>
      <c r="I166" s="70">
        <v>4276019</v>
      </c>
      <c r="J166" s="70"/>
      <c r="K166" s="70">
        <f>K218-1738846</f>
        <v>1756228</v>
      </c>
      <c r="L166" s="70"/>
      <c r="M166" s="70">
        <v>1499771</v>
      </c>
    </row>
    <row r="167" spans="1:13" s="3" customFormat="1" ht="18.75">
      <c r="A167" s="7" t="s">
        <v>31</v>
      </c>
      <c r="C167" s="4"/>
      <c r="E167" s="5"/>
      <c r="F167" s="5"/>
      <c r="G167" s="70">
        <v>38358</v>
      </c>
      <c r="H167" s="70"/>
      <c r="I167" s="70">
        <v>40056</v>
      </c>
      <c r="J167" s="70"/>
      <c r="K167" s="70">
        <f>K219-9537</f>
        <v>10071</v>
      </c>
      <c r="L167" s="70"/>
      <c r="M167" s="70" t="s">
        <v>78</v>
      </c>
    </row>
    <row r="168" spans="1:13" s="3" customFormat="1" ht="18.75">
      <c r="A168" s="7" t="s">
        <v>67</v>
      </c>
      <c r="B168" s="15"/>
      <c r="C168" s="15"/>
      <c r="E168" s="5"/>
      <c r="F168" s="5"/>
      <c r="G168" s="70"/>
      <c r="H168" s="70"/>
      <c r="I168" s="70"/>
      <c r="J168" s="70"/>
      <c r="K168" s="70"/>
      <c r="L168" s="70"/>
      <c r="M168" s="70"/>
    </row>
    <row r="169" spans="2:13" s="3" customFormat="1" ht="18.75">
      <c r="B169" s="7" t="s">
        <v>68</v>
      </c>
      <c r="C169" s="4"/>
      <c r="E169" s="5"/>
      <c r="F169" s="5"/>
      <c r="G169" s="71">
        <f>G221-1511</f>
        <v>7571</v>
      </c>
      <c r="H169" s="70"/>
      <c r="I169" s="71">
        <v>3682</v>
      </c>
      <c r="J169" s="70"/>
      <c r="K169" s="71">
        <f>K221-17080</f>
        <v>55039</v>
      </c>
      <c r="L169" s="70"/>
      <c r="M169" s="71">
        <v>4192</v>
      </c>
    </row>
    <row r="170" spans="2:13" s="3" customFormat="1" ht="18.75">
      <c r="B170" s="7" t="s">
        <v>163</v>
      </c>
      <c r="C170" s="4"/>
      <c r="E170" s="5"/>
      <c r="F170" s="5"/>
      <c r="G170" s="104">
        <f>G222-0</f>
        <v>319</v>
      </c>
      <c r="H170" s="70"/>
      <c r="I170" s="104">
        <v>13942</v>
      </c>
      <c r="J170" s="70"/>
      <c r="K170" s="104">
        <f>K222-27783</f>
        <v>45765</v>
      </c>
      <c r="L170" s="70"/>
      <c r="M170" s="104">
        <v>39825</v>
      </c>
    </row>
    <row r="171" spans="2:13" s="3" customFormat="1" ht="18.75">
      <c r="B171" s="7" t="s">
        <v>69</v>
      </c>
      <c r="C171" s="4"/>
      <c r="E171" s="5"/>
      <c r="F171" s="5"/>
      <c r="G171" s="72">
        <v>46751</v>
      </c>
      <c r="H171" s="106"/>
      <c r="I171" s="72">
        <v>38972</v>
      </c>
      <c r="J171" s="106"/>
      <c r="K171" s="72">
        <f>K223-78143</f>
        <v>64859</v>
      </c>
      <c r="L171" s="106"/>
      <c r="M171" s="72">
        <v>76599</v>
      </c>
    </row>
    <row r="172" spans="1:13" s="3" customFormat="1" ht="18.75">
      <c r="A172" s="7" t="s">
        <v>70</v>
      </c>
      <c r="B172" s="7"/>
      <c r="C172" s="4"/>
      <c r="E172" s="5"/>
      <c r="F172" s="5"/>
      <c r="G172" s="70">
        <f>SUM(G169:G171)</f>
        <v>54641</v>
      </c>
      <c r="H172" s="70"/>
      <c r="I172" s="70">
        <f>SUM(I169:I171)</f>
        <v>56596</v>
      </c>
      <c r="J172" s="70"/>
      <c r="K172" s="70">
        <f>SUM(K169:K171)</f>
        <v>165663</v>
      </c>
      <c r="L172" s="70"/>
      <c r="M172" s="70">
        <f>SUM(M169:M171)</f>
        <v>120616</v>
      </c>
    </row>
    <row r="173" spans="1:13" s="3" customFormat="1" ht="18.75">
      <c r="A173" s="7" t="s">
        <v>209</v>
      </c>
      <c r="B173" s="7"/>
      <c r="C173" s="4"/>
      <c r="E173" s="5"/>
      <c r="F173" s="5"/>
      <c r="G173" s="73">
        <v>39671</v>
      </c>
      <c r="H173" s="70"/>
      <c r="I173" s="73">
        <v>5380</v>
      </c>
      <c r="J173" s="70"/>
      <c r="K173" s="73" t="s">
        <v>78</v>
      </c>
      <c r="L173" s="70"/>
      <c r="M173" s="73" t="s">
        <v>78</v>
      </c>
    </row>
    <row r="174" spans="1:13" ht="18.75">
      <c r="A174" s="52" t="s">
        <v>16</v>
      </c>
      <c r="G174" s="108">
        <f>SUM(G166:G173)-G172</f>
        <v>5246918</v>
      </c>
      <c r="H174" s="106"/>
      <c r="I174" s="108">
        <f>SUM(I166:I173)-I172</f>
        <v>4378051</v>
      </c>
      <c r="J174" s="106"/>
      <c r="K174" s="108">
        <f>SUM(K166:K173)-K172</f>
        <v>1931962</v>
      </c>
      <c r="L174" s="106"/>
      <c r="M174" s="108">
        <f>SUM(M166:M173)-M172</f>
        <v>1620387</v>
      </c>
    </row>
    <row r="175" spans="1:13" ht="18.75">
      <c r="A175" s="52" t="s">
        <v>32</v>
      </c>
      <c r="G175" s="106"/>
      <c r="H175" s="106"/>
      <c r="I175" s="106"/>
      <c r="J175" s="106"/>
      <c r="K175" s="106"/>
      <c r="L175" s="106"/>
      <c r="M175" s="106"/>
    </row>
    <row r="176" spans="1:13" s="3" customFormat="1" ht="18.75">
      <c r="A176" s="7" t="s">
        <v>71</v>
      </c>
      <c r="B176" s="4"/>
      <c r="C176" s="4"/>
      <c r="E176" s="5"/>
      <c r="F176" s="5"/>
      <c r="G176" s="70">
        <f>G228-2881266</f>
        <v>2859459</v>
      </c>
      <c r="H176" s="70"/>
      <c r="I176" s="70">
        <v>2476386</v>
      </c>
      <c r="J176" s="70"/>
      <c r="K176" s="70">
        <f>K228-915538</f>
        <v>943276</v>
      </c>
      <c r="L176" s="70"/>
      <c r="M176" s="70">
        <v>821495</v>
      </c>
    </row>
    <row r="177" spans="1:13" s="3" customFormat="1" ht="18.75">
      <c r="A177" s="7" t="s">
        <v>29</v>
      </c>
      <c r="B177" s="4"/>
      <c r="C177" s="4"/>
      <c r="E177" s="5"/>
      <c r="F177" s="5"/>
      <c r="G177" s="70">
        <v>1167462</v>
      </c>
      <c r="H177" s="70"/>
      <c r="I177" s="70">
        <v>1015258</v>
      </c>
      <c r="J177" s="70"/>
      <c r="K177" s="70">
        <f>K229-418618</f>
        <v>497759</v>
      </c>
      <c r="L177" s="70"/>
      <c r="M177" s="70">
        <v>426592</v>
      </c>
    </row>
    <row r="178" spans="1:13" s="3" customFormat="1" ht="18.75">
      <c r="A178" s="7" t="s">
        <v>116</v>
      </c>
      <c r="B178" s="4"/>
      <c r="C178" s="4"/>
      <c r="E178" s="5"/>
      <c r="F178" s="5"/>
      <c r="G178" s="70">
        <f>G230-516810</f>
        <v>544383</v>
      </c>
      <c r="H178" s="70"/>
      <c r="I178" s="70">
        <v>456223</v>
      </c>
      <c r="J178" s="70"/>
      <c r="K178" s="70">
        <f>K230-167771</f>
        <v>180777</v>
      </c>
      <c r="L178" s="70"/>
      <c r="M178" s="70">
        <v>133410</v>
      </c>
    </row>
    <row r="179" spans="1:13" ht="18.75">
      <c r="A179" s="52" t="s">
        <v>27</v>
      </c>
      <c r="G179" s="108">
        <f>SUM(G176:G178)</f>
        <v>4571304</v>
      </c>
      <c r="H179" s="106"/>
      <c r="I179" s="108">
        <f>SUM(I176:I178)</f>
        <v>3947867</v>
      </c>
      <c r="J179" s="106"/>
      <c r="K179" s="108">
        <f>SUM(K176:K178)</f>
        <v>1621812</v>
      </c>
      <c r="L179" s="106"/>
      <c r="M179" s="108">
        <f>SUM(M176:M178)</f>
        <v>1381497</v>
      </c>
    </row>
    <row r="180" spans="1:13" ht="18.75">
      <c r="A180" s="80" t="s">
        <v>77</v>
      </c>
      <c r="G180" s="70">
        <f>G174-G179</f>
        <v>675614</v>
      </c>
      <c r="H180" s="106"/>
      <c r="I180" s="70">
        <f>I174-I179</f>
        <v>430184</v>
      </c>
      <c r="J180" s="106"/>
      <c r="K180" s="70">
        <f>K174-K179</f>
        <v>310150</v>
      </c>
      <c r="L180" s="106"/>
      <c r="M180" s="70">
        <f>M174-M179</f>
        <v>238890</v>
      </c>
    </row>
    <row r="181" spans="1:13" ht="18.75">
      <c r="A181" s="80" t="s">
        <v>17</v>
      </c>
      <c r="G181" s="106">
        <f>G233--165754</f>
        <v>-146050</v>
      </c>
      <c r="H181" s="106"/>
      <c r="I181" s="106">
        <v>-175272</v>
      </c>
      <c r="J181" s="106"/>
      <c r="K181" s="106">
        <f>K233--109181</f>
        <v>-144606</v>
      </c>
      <c r="L181" s="106"/>
      <c r="M181" s="106">
        <v>-103807</v>
      </c>
    </row>
    <row r="182" spans="1:13" ht="18.75">
      <c r="A182" s="80" t="s">
        <v>203</v>
      </c>
      <c r="G182" s="73">
        <v>-178745</v>
      </c>
      <c r="H182" s="106"/>
      <c r="I182" s="73">
        <v>-124443</v>
      </c>
      <c r="J182" s="106"/>
      <c r="K182" s="73">
        <v>-77998</v>
      </c>
      <c r="L182" s="106"/>
      <c r="M182" s="73">
        <v>-61720</v>
      </c>
    </row>
    <row r="183" spans="1:13" ht="19.5" thickBot="1">
      <c r="A183" s="112" t="s">
        <v>177</v>
      </c>
      <c r="G183" s="107">
        <f>SUM(G180:G182)</f>
        <v>350819</v>
      </c>
      <c r="H183" s="106"/>
      <c r="I183" s="107">
        <f>SUM(I180:I182)</f>
        <v>130469</v>
      </c>
      <c r="J183" s="106"/>
      <c r="K183" s="107">
        <f>SUM(K180:K182)</f>
        <v>87546</v>
      </c>
      <c r="L183" s="106"/>
      <c r="M183" s="107">
        <f>SUM(M180:M182)</f>
        <v>73363</v>
      </c>
    </row>
    <row r="184" spans="1:13" ht="19.5" thickTop="1">
      <c r="A184" s="80"/>
      <c r="G184" s="106"/>
      <c r="H184" s="106"/>
      <c r="I184" s="106"/>
      <c r="J184" s="106"/>
      <c r="K184" s="106"/>
      <c r="L184" s="106"/>
      <c r="M184" s="106"/>
    </row>
    <row r="185" spans="1:13" ht="18.75">
      <c r="A185" s="80" t="s">
        <v>204</v>
      </c>
      <c r="G185" s="106"/>
      <c r="H185" s="106"/>
      <c r="I185" s="106"/>
      <c r="J185" s="106"/>
      <c r="K185" s="70"/>
      <c r="L185" s="70"/>
      <c r="M185" s="70"/>
    </row>
    <row r="186" spans="1:13" ht="19.5" thickBot="1">
      <c r="A186" s="80" t="s">
        <v>205</v>
      </c>
      <c r="G186" s="70">
        <v>339417</v>
      </c>
      <c r="H186" s="70"/>
      <c r="I186" s="70">
        <v>123376</v>
      </c>
      <c r="J186" s="106"/>
      <c r="K186" s="102">
        <f>+K183</f>
        <v>87546</v>
      </c>
      <c r="L186" s="106"/>
      <c r="M186" s="102">
        <f>+M183</f>
        <v>73363</v>
      </c>
    </row>
    <row r="187" spans="1:13" ht="19.5" thickTop="1">
      <c r="A187" s="80" t="s">
        <v>206</v>
      </c>
      <c r="G187" s="73">
        <v>11402</v>
      </c>
      <c r="H187" s="70"/>
      <c r="I187" s="73">
        <v>7093</v>
      </c>
      <c r="J187" s="106"/>
      <c r="K187" s="106"/>
      <c r="L187" s="106"/>
      <c r="M187" s="106"/>
    </row>
    <row r="188" spans="1:13" ht="19.5" thickBot="1">
      <c r="A188" s="80"/>
      <c r="G188" s="105">
        <f>SUM(G186:G187)</f>
        <v>350819</v>
      </c>
      <c r="H188" s="70"/>
      <c r="I188" s="105">
        <f>SUM(I186:I187)</f>
        <v>130469</v>
      </c>
      <c r="J188" s="106"/>
      <c r="K188" s="106"/>
      <c r="L188" s="106"/>
      <c r="M188" s="106"/>
    </row>
    <row r="189" spans="1:13" ht="19.5" thickTop="1">
      <c r="A189" s="80"/>
      <c r="D189" s="80"/>
      <c r="G189" s="79"/>
      <c r="H189" s="79"/>
      <c r="I189" s="79"/>
      <c r="J189" s="79"/>
      <c r="K189" s="79"/>
      <c r="L189" s="79"/>
      <c r="M189" s="79"/>
    </row>
    <row r="190" spans="1:13" ht="18.75">
      <c r="A190" s="52" t="s">
        <v>178</v>
      </c>
      <c r="G190" s="7"/>
      <c r="H190" s="7"/>
      <c r="I190" s="7"/>
      <c r="J190" s="7"/>
      <c r="K190" s="7"/>
      <c r="L190" s="7"/>
      <c r="M190" s="7"/>
    </row>
    <row r="191" spans="1:13" ht="19.5" thickBot="1">
      <c r="A191" s="7" t="s">
        <v>207</v>
      </c>
      <c r="E191" s="16"/>
      <c r="G191" s="129">
        <f>(G186*1000)/G193</f>
        <v>0.2795322721769424</v>
      </c>
      <c r="H191" s="79"/>
      <c r="I191" s="129">
        <f>(I186*1000)/I193</f>
        <v>0.10445388624478372</v>
      </c>
      <c r="J191" s="79"/>
      <c r="K191" s="129">
        <f>(K186*1000)/K193</f>
        <v>0.07209990159597958</v>
      </c>
      <c r="L191" s="79"/>
      <c r="M191" s="129">
        <f>(M186*1000)/M193</f>
        <v>0.062111354368564936</v>
      </c>
    </row>
    <row r="192" spans="5:13" s="79" customFormat="1" ht="19.5" thickTop="1">
      <c r="E192" s="77"/>
      <c r="F192" s="117"/>
      <c r="G192" s="130"/>
      <c r="I192" s="130"/>
      <c r="K192" s="130"/>
      <c r="M192" s="130"/>
    </row>
    <row r="193" spans="1:13" ht="19.5" thickBot="1">
      <c r="A193" s="7" t="s">
        <v>50</v>
      </c>
      <c r="E193" s="16"/>
      <c r="G193" s="78">
        <v>1214231893</v>
      </c>
      <c r="H193" s="76"/>
      <c r="I193" s="78">
        <v>1181152798</v>
      </c>
      <c r="J193" s="76"/>
      <c r="K193" s="78">
        <v>1214231893</v>
      </c>
      <c r="L193" s="76"/>
      <c r="M193" s="78">
        <v>1181152798</v>
      </c>
    </row>
    <row r="194" spans="7:13" ht="19.5" thickTop="1">
      <c r="G194" s="79"/>
      <c r="H194" s="7"/>
      <c r="I194" s="79"/>
      <c r="J194" s="79"/>
      <c r="K194" s="79"/>
      <c r="L194" s="7"/>
      <c r="M194" s="79"/>
    </row>
    <row r="195" spans="1:13" ht="18.75">
      <c r="A195" s="80" t="s">
        <v>51</v>
      </c>
      <c r="G195" s="79"/>
      <c r="H195" s="7"/>
      <c r="I195" s="79"/>
      <c r="J195" s="79"/>
      <c r="K195" s="79"/>
      <c r="L195" s="7"/>
      <c r="M195" s="79"/>
    </row>
    <row r="196" spans="7:13" ht="18.75">
      <c r="G196" s="79"/>
      <c r="H196" s="7"/>
      <c r="I196" s="79"/>
      <c r="J196" s="79"/>
      <c r="K196" s="79"/>
      <c r="L196" s="7"/>
      <c r="M196" s="79"/>
    </row>
    <row r="197" spans="7:13" ht="18.75">
      <c r="G197" s="79"/>
      <c r="H197" s="7"/>
      <c r="I197" s="79"/>
      <c r="J197" s="79"/>
      <c r="K197" s="79"/>
      <c r="L197" s="7"/>
      <c r="M197" s="79"/>
    </row>
    <row r="198" spans="7:13" ht="18.75">
      <c r="G198" s="79"/>
      <c r="H198" s="7"/>
      <c r="I198" s="79"/>
      <c r="J198" s="79"/>
      <c r="K198" s="79"/>
      <c r="L198" s="7"/>
      <c r="M198" s="79"/>
    </row>
    <row r="199" spans="7:13" ht="18.75">
      <c r="G199" s="79"/>
      <c r="H199" s="7"/>
      <c r="I199" s="79"/>
      <c r="J199" s="79"/>
      <c r="K199" s="79"/>
      <c r="L199" s="7"/>
      <c r="M199" s="79"/>
    </row>
    <row r="200" spans="7:13" ht="18.75">
      <c r="G200" s="79"/>
      <c r="H200" s="7"/>
      <c r="I200" s="79"/>
      <c r="J200" s="79"/>
      <c r="K200" s="79"/>
      <c r="L200" s="7"/>
      <c r="M200" s="79"/>
    </row>
    <row r="201" spans="7:13" ht="18.75">
      <c r="G201" s="79"/>
      <c r="H201" s="7"/>
      <c r="I201" s="79"/>
      <c r="J201" s="79"/>
      <c r="K201" s="79"/>
      <c r="L201" s="7"/>
      <c r="M201" s="79"/>
    </row>
    <row r="202" spans="7:13" ht="18.75">
      <c r="G202" s="79"/>
      <c r="H202" s="7"/>
      <c r="I202" s="79"/>
      <c r="J202" s="79"/>
      <c r="K202" s="79"/>
      <c r="L202" s="7"/>
      <c r="M202" s="79"/>
    </row>
    <row r="203" spans="7:13" ht="18.75">
      <c r="G203" s="79"/>
      <c r="H203" s="7"/>
      <c r="I203" s="79"/>
      <c r="J203" s="79"/>
      <c r="K203" s="79"/>
      <c r="L203" s="7"/>
      <c r="M203" s="79"/>
    </row>
    <row r="204" spans="7:13" ht="18.75">
      <c r="G204" s="79"/>
      <c r="H204" s="7"/>
      <c r="I204" s="79"/>
      <c r="J204" s="79"/>
      <c r="K204" s="79"/>
      <c r="L204" s="7"/>
      <c r="M204" s="79"/>
    </row>
    <row r="205" spans="7:13" ht="18.75">
      <c r="G205" s="79"/>
      <c r="H205" s="7"/>
      <c r="I205" s="79"/>
      <c r="J205" s="79"/>
      <c r="K205" s="79"/>
      <c r="L205" s="7"/>
      <c r="M205" s="79"/>
    </row>
    <row r="206" spans="7:13" ht="18.75">
      <c r="G206" s="79"/>
      <c r="H206" s="7"/>
      <c r="I206" s="79"/>
      <c r="J206" s="79"/>
      <c r="K206" s="79"/>
      <c r="L206" s="7"/>
      <c r="M206" s="79"/>
    </row>
    <row r="207" spans="7:13" ht="13.5" customHeight="1">
      <c r="G207" s="79"/>
      <c r="H207" s="7"/>
      <c r="I207" s="79"/>
      <c r="J207" s="79"/>
      <c r="K207" s="79"/>
      <c r="L207" s="7"/>
      <c r="M207" s="79"/>
    </row>
    <row r="208" spans="1:13" ht="18.75">
      <c r="A208" s="150" t="s">
        <v>230</v>
      </c>
      <c r="B208" s="150"/>
      <c r="C208" s="150"/>
      <c r="D208" s="150"/>
      <c r="E208" s="150"/>
      <c r="F208" s="150"/>
      <c r="G208" s="150"/>
      <c r="H208" s="150"/>
      <c r="I208" s="150"/>
      <c r="J208" s="150"/>
      <c r="K208" s="150"/>
      <c r="L208" s="150"/>
      <c r="M208" s="150"/>
    </row>
    <row r="209" spans="1:13" ht="18.75">
      <c r="A209" s="53"/>
      <c r="B209" s="53"/>
      <c r="C209" s="53"/>
      <c r="D209" s="53"/>
      <c r="E209" s="123"/>
      <c r="F209" s="123"/>
      <c r="G209" s="53"/>
      <c r="K209" s="13"/>
      <c r="L209" s="7"/>
      <c r="M209" s="13" t="s">
        <v>175</v>
      </c>
    </row>
    <row r="210" spans="1:13" ht="18.75">
      <c r="A210" s="149" t="s">
        <v>53</v>
      </c>
      <c r="B210" s="149"/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</row>
    <row r="211" spans="1:13" ht="18.75">
      <c r="A211" s="149" t="s">
        <v>15</v>
      </c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</row>
    <row r="212" spans="1:13" ht="18.75">
      <c r="A212" s="149" t="s">
        <v>223</v>
      </c>
      <c r="B212" s="149"/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</row>
    <row r="213" spans="3:13" ht="18.75">
      <c r="C213" s="14"/>
      <c r="D213" s="14"/>
      <c r="E213" s="14"/>
      <c r="F213" s="124"/>
      <c r="G213" s="14"/>
      <c r="H213" s="14"/>
      <c r="I213" s="14"/>
      <c r="J213" s="14"/>
      <c r="K213" s="13"/>
      <c r="L213" s="7"/>
      <c r="M213" s="13" t="s">
        <v>197</v>
      </c>
    </row>
    <row r="214" spans="1:13" ht="18.75">
      <c r="A214" s="112"/>
      <c r="B214" s="112"/>
      <c r="C214" s="112"/>
      <c r="D214" s="112"/>
      <c r="E214" s="112"/>
      <c r="F214" s="112"/>
      <c r="G214" s="74"/>
      <c r="H214" s="74" t="s">
        <v>43</v>
      </c>
      <c r="I214" s="74"/>
      <c r="J214" s="80"/>
      <c r="K214" s="74"/>
      <c r="L214" s="74" t="s">
        <v>157</v>
      </c>
      <c r="M214" s="74"/>
    </row>
    <row r="215" spans="1:13" ht="18.75">
      <c r="A215" s="80"/>
      <c r="B215" s="80"/>
      <c r="C215" s="80"/>
      <c r="D215" s="80"/>
      <c r="E215" s="113"/>
      <c r="F215" s="80"/>
      <c r="G215" s="125" t="s">
        <v>187</v>
      </c>
      <c r="H215" s="126"/>
      <c r="I215" s="125" t="s">
        <v>176</v>
      </c>
      <c r="J215" s="127"/>
      <c r="K215" s="125" t="s">
        <v>187</v>
      </c>
      <c r="L215" s="126"/>
      <c r="M215" s="125" t="s">
        <v>176</v>
      </c>
    </row>
    <row r="216" spans="1:13" ht="18.75">
      <c r="A216" s="80"/>
      <c r="B216" s="80"/>
      <c r="C216" s="80"/>
      <c r="D216" s="80"/>
      <c r="E216" s="113"/>
      <c r="F216" s="80"/>
      <c r="G216" s="128"/>
      <c r="H216" s="75"/>
      <c r="I216" s="128"/>
      <c r="J216" s="80"/>
      <c r="K216" s="128"/>
      <c r="L216" s="75"/>
      <c r="M216" s="128"/>
    </row>
    <row r="217" spans="1:13" ht="18.75">
      <c r="A217" s="52" t="s">
        <v>30</v>
      </c>
      <c r="G217" s="77"/>
      <c r="H217" s="7"/>
      <c r="I217" s="77"/>
      <c r="J217" s="7"/>
      <c r="K217" s="7"/>
      <c r="L217" s="7"/>
      <c r="M217" s="7"/>
    </row>
    <row r="218" spans="1:13" ht="18.75">
      <c r="A218" s="7" t="s">
        <v>66</v>
      </c>
      <c r="B218" s="4"/>
      <c r="C218" s="4"/>
      <c r="D218" s="3"/>
      <c r="E218" s="5"/>
      <c r="F218" s="5"/>
      <c r="G218" s="70">
        <v>10512797</v>
      </c>
      <c r="H218" s="70"/>
      <c r="I218" s="70">
        <v>8903468</v>
      </c>
      <c r="J218" s="70"/>
      <c r="K218" s="70">
        <v>3495074</v>
      </c>
      <c r="L218" s="70"/>
      <c r="M218" s="70">
        <v>2998799</v>
      </c>
    </row>
    <row r="219" spans="1:13" ht="18.75">
      <c r="A219" s="7" t="s">
        <v>31</v>
      </c>
      <c r="B219" s="3"/>
      <c r="C219" s="4"/>
      <c r="D219" s="3"/>
      <c r="E219" s="5"/>
      <c r="F219" s="5"/>
      <c r="G219" s="70">
        <v>77934</v>
      </c>
      <c r="H219" s="70"/>
      <c r="I219" s="70">
        <v>66619</v>
      </c>
      <c r="J219" s="70"/>
      <c r="K219" s="70">
        <v>19608</v>
      </c>
      <c r="L219" s="70"/>
      <c r="M219" s="70" t="s">
        <v>78</v>
      </c>
    </row>
    <row r="220" spans="1:13" ht="18.75">
      <c r="A220" s="7" t="s">
        <v>67</v>
      </c>
      <c r="B220" s="15"/>
      <c r="C220" s="15"/>
      <c r="D220" s="3"/>
      <c r="E220" s="5"/>
      <c r="F220" s="5"/>
      <c r="G220" s="70"/>
      <c r="H220" s="70"/>
      <c r="I220" s="70"/>
      <c r="J220" s="70"/>
      <c r="K220" s="70"/>
      <c r="L220" s="70"/>
      <c r="M220" s="70"/>
    </row>
    <row r="221" spans="1:13" ht="18.75">
      <c r="A221" s="3"/>
      <c r="B221" s="7" t="s">
        <v>68</v>
      </c>
      <c r="C221" s="4"/>
      <c r="D221" s="3"/>
      <c r="E221" s="5"/>
      <c r="F221" s="5"/>
      <c r="G221" s="71">
        <v>9082</v>
      </c>
      <c r="H221" s="70"/>
      <c r="I221" s="71">
        <v>6866</v>
      </c>
      <c r="J221" s="70"/>
      <c r="K221" s="71">
        <v>72119</v>
      </c>
      <c r="L221" s="70"/>
      <c r="M221" s="71">
        <v>7084</v>
      </c>
    </row>
    <row r="222" spans="1:13" ht="18.75">
      <c r="A222" s="3"/>
      <c r="B222" s="7" t="s">
        <v>163</v>
      </c>
      <c r="C222" s="4"/>
      <c r="D222" s="3"/>
      <c r="E222" s="5"/>
      <c r="F222" s="5"/>
      <c r="G222" s="104">
        <v>319</v>
      </c>
      <c r="H222" s="70"/>
      <c r="I222" s="104">
        <v>13942</v>
      </c>
      <c r="J222" s="70"/>
      <c r="K222" s="104">
        <v>73548</v>
      </c>
      <c r="L222" s="70"/>
      <c r="M222" s="104">
        <v>39825</v>
      </c>
    </row>
    <row r="223" spans="1:13" ht="18.75">
      <c r="A223" s="3"/>
      <c r="B223" s="7" t="s">
        <v>69</v>
      </c>
      <c r="C223" s="4"/>
      <c r="D223" s="3"/>
      <c r="E223" s="5"/>
      <c r="F223" s="5"/>
      <c r="G223" s="72">
        <v>135985</v>
      </c>
      <c r="H223" s="106"/>
      <c r="I223" s="72">
        <v>88932</v>
      </c>
      <c r="J223" s="106"/>
      <c r="K223" s="72">
        <v>143002</v>
      </c>
      <c r="L223" s="106"/>
      <c r="M223" s="72">
        <v>176188</v>
      </c>
    </row>
    <row r="224" spans="1:13" ht="18.75">
      <c r="A224" s="7" t="s">
        <v>70</v>
      </c>
      <c r="C224" s="4"/>
      <c r="D224" s="3"/>
      <c r="E224" s="5"/>
      <c r="F224" s="5"/>
      <c r="G224" s="70">
        <f>SUM(G221:G223)</f>
        <v>145386</v>
      </c>
      <c r="H224" s="70"/>
      <c r="I224" s="70">
        <f>SUM(I221:I223)</f>
        <v>109740</v>
      </c>
      <c r="J224" s="70"/>
      <c r="K224" s="70">
        <f>SUM(K221:K223)</f>
        <v>288669</v>
      </c>
      <c r="L224" s="70"/>
      <c r="M224" s="70">
        <f>SUM(M221:M223)</f>
        <v>223097</v>
      </c>
    </row>
    <row r="225" spans="1:13" ht="18.75">
      <c r="A225" s="7" t="s">
        <v>209</v>
      </c>
      <c r="C225" s="4"/>
      <c r="D225" s="3"/>
      <c r="E225" s="5"/>
      <c r="F225" s="5"/>
      <c r="G225" s="73">
        <v>86169</v>
      </c>
      <c r="H225" s="70"/>
      <c r="I225" s="73">
        <v>6707</v>
      </c>
      <c r="J225" s="70"/>
      <c r="K225" s="73" t="s">
        <v>78</v>
      </c>
      <c r="L225" s="70"/>
      <c r="M225" s="73" t="s">
        <v>78</v>
      </c>
    </row>
    <row r="226" spans="1:13" ht="18.75">
      <c r="A226" s="52" t="s">
        <v>16</v>
      </c>
      <c r="G226" s="108">
        <f>SUM(G218:G225)-G224</f>
        <v>10822286</v>
      </c>
      <c r="H226" s="106"/>
      <c r="I226" s="108">
        <f>SUM(I218:I225)-I224</f>
        <v>9086534</v>
      </c>
      <c r="J226" s="106"/>
      <c r="K226" s="108">
        <f>SUM(K218:K225)-K224</f>
        <v>3803351</v>
      </c>
      <c r="L226" s="106"/>
      <c r="M226" s="108">
        <f>SUM(M218:M225)-M224</f>
        <v>3221896</v>
      </c>
    </row>
    <row r="227" spans="1:13" ht="18.75">
      <c r="A227" s="52" t="s">
        <v>32</v>
      </c>
      <c r="G227" s="106"/>
      <c r="H227" s="106"/>
      <c r="I227" s="106"/>
      <c r="J227" s="106"/>
      <c r="K227" s="106"/>
      <c r="L227" s="106"/>
      <c r="M227" s="106"/>
    </row>
    <row r="228" spans="1:13" ht="18.75">
      <c r="A228" s="7" t="s">
        <v>71</v>
      </c>
      <c r="B228" s="4"/>
      <c r="C228" s="4"/>
      <c r="D228" s="3"/>
      <c r="E228" s="5"/>
      <c r="F228" s="5"/>
      <c r="G228" s="70">
        <v>5740725</v>
      </c>
      <c r="H228" s="70"/>
      <c r="I228" s="70">
        <v>4979192</v>
      </c>
      <c r="J228" s="70"/>
      <c r="K228" s="70">
        <v>1858814</v>
      </c>
      <c r="L228" s="70"/>
      <c r="M228" s="70">
        <v>1647087</v>
      </c>
    </row>
    <row r="229" spans="1:13" ht="18.75">
      <c r="A229" s="7" t="s">
        <v>29</v>
      </c>
      <c r="B229" s="4"/>
      <c r="C229" s="4"/>
      <c r="D229" s="3"/>
      <c r="E229" s="5"/>
      <c r="F229" s="5"/>
      <c r="G229" s="70">
        <v>2268380</v>
      </c>
      <c r="H229" s="70"/>
      <c r="I229" s="70">
        <v>2004145</v>
      </c>
      <c r="J229" s="70"/>
      <c r="K229" s="70">
        <v>916377</v>
      </c>
      <c r="L229" s="70"/>
      <c r="M229" s="70">
        <v>798722</v>
      </c>
    </row>
    <row r="230" spans="1:13" ht="18.75">
      <c r="A230" s="7" t="s">
        <v>116</v>
      </c>
      <c r="B230" s="4"/>
      <c r="C230" s="4"/>
      <c r="D230" s="3"/>
      <c r="E230" s="5"/>
      <c r="F230" s="5"/>
      <c r="G230" s="70">
        <f>1006090+55103</f>
        <v>1061193</v>
      </c>
      <c r="H230" s="70"/>
      <c r="I230" s="70">
        <v>891070</v>
      </c>
      <c r="J230" s="70"/>
      <c r="K230" s="70">
        <v>348548</v>
      </c>
      <c r="L230" s="70"/>
      <c r="M230" s="70">
        <v>265325</v>
      </c>
    </row>
    <row r="231" spans="1:13" ht="18.75">
      <c r="A231" s="52" t="s">
        <v>27</v>
      </c>
      <c r="G231" s="108">
        <f>SUM(G228:G230)</f>
        <v>9070298</v>
      </c>
      <c r="H231" s="106"/>
      <c r="I231" s="108">
        <f>SUM(I228:I230)</f>
        <v>7874407</v>
      </c>
      <c r="J231" s="106"/>
      <c r="K231" s="108">
        <f>SUM(K228:K230)</f>
        <v>3123739</v>
      </c>
      <c r="L231" s="106"/>
      <c r="M231" s="108">
        <f>SUM(M228:M230)</f>
        <v>2711134</v>
      </c>
    </row>
    <row r="232" spans="1:13" ht="18.75">
      <c r="A232" s="80" t="s">
        <v>77</v>
      </c>
      <c r="G232" s="70">
        <f>G226-G231</f>
        <v>1751988</v>
      </c>
      <c r="H232" s="106"/>
      <c r="I232" s="70">
        <f>I226-I231</f>
        <v>1212127</v>
      </c>
      <c r="J232" s="106"/>
      <c r="K232" s="70">
        <f>K226-K231</f>
        <v>679612</v>
      </c>
      <c r="L232" s="106"/>
      <c r="M232" s="70">
        <f>M226-M231</f>
        <v>510762</v>
      </c>
    </row>
    <row r="233" spans="1:13" ht="18.75">
      <c r="A233" s="80" t="s">
        <v>17</v>
      </c>
      <c r="G233" s="106">
        <v>-311804</v>
      </c>
      <c r="H233" s="106"/>
      <c r="I233" s="106">
        <v>-370541</v>
      </c>
      <c r="J233" s="106"/>
      <c r="K233" s="106">
        <v>-253787</v>
      </c>
      <c r="L233" s="106"/>
      <c r="M233" s="106">
        <v>-220092</v>
      </c>
    </row>
    <row r="234" spans="1:13" ht="18.75">
      <c r="A234" s="80" t="s">
        <v>203</v>
      </c>
      <c r="G234" s="73">
        <v>-373739</v>
      </c>
      <c r="H234" s="106"/>
      <c r="I234" s="73">
        <v>-267219</v>
      </c>
      <c r="J234" s="106"/>
      <c r="K234" s="73">
        <v>-142387</v>
      </c>
      <c r="L234" s="106"/>
      <c r="M234" s="73">
        <v>-110141</v>
      </c>
    </row>
    <row r="235" spans="1:13" ht="19.5" thickBot="1">
      <c r="A235" s="112" t="s">
        <v>177</v>
      </c>
      <c r="G235" s="107">
        <f>SUM(G232:G234)</f>
        <v>1066445</v>
      </c>
      <c r="H235" s="106"/>
      <c r="I235" s="107">
        <f>SUM(I232:I234)</f>
        <v>574367</v>
      </c>
      <c r="J235" s="106"/>
      <c r="K235" s="107">
        <f>SUM(K232:K234)</f>
        <v>283438</v>
      </c>
      <c r="L235" s="106"/>
      <c r="M235" s="107">
        <f>SUM(M232:M234)</f>
        <v>180529</v>
      </c>
    </row>
    <row r="236" spans="1:13" ht="19.5" thickTop="1">
      <c r="A236" s="80"/>
      <c r="G236" s="106"/>
      <c r="H236" s="106"/>
      <c r="I236" s="106"/>
      <c r="J236" s="106"/>
      <c r="K236" s="106"/>
      <c r="L236" s="106"/>
      <c r="M236" s="106"/>
    </row>
    <row r="237" spans="1:13" ht="18.75">
      <c r="A237" s="80" t="s">
        <v>204</v>
      </c>
      <c r="G237" s="106"/>
      <c r="H237" s="106"/>
      <c r="I237" s="106"/>
      <c r="J237" s="106"/>
      <c r="K237" s="70"/>
      <c r="L237" s="70"/>
      <c r="M237" s="70"/>
    </row>
    <row r="238" spans="1:13" ht="19.5" thickBot="1">
      <c r="A238" s="80" t="s">
        <v>205</v>
      </c>
      <c r="G238" s="70">
        <v>1036402</v>
      </c>
      <c r="H238" s="70"/>
      <c r="I238" s="70">
        <v>546325</v>
      </c>
      <c r="J238" s="106"/>
      <c r="K238" s="102">
        <f>+K235</f>
        <v>283438</v>
      </c>
      <c r="L238" s="106"/>
      <c r="M238" s="102">
        <f>+M235</f>
        <v>180529</v>
      </c>
    </row>
    <row r="239" spans="1:13" ht="19.5" thickTop="1">
      <c r="A239" s="80" t="s">
        <v>206</v>
      </c>
      <c r="G239" s="73">
        <v>30043</v>
      </c>
      <c r="H239" s="70"/>
      <c r="I239" s="73">
        <v>28042</v>
      </c>
      <c r="J239" s="106"/>
      <c r="K239" s="106"/>
      <c r="L239" s="106"/>
      <c r="M239" s="106"/>
    </row>
    <row r="240" spans="1:13" ht="19.5" thickBot="1">
      <c r="A240" s="80"/>
      <c r="G240" s="105">
        <f>SUM(G238:G239)</f>
        <v>1066445</v>
      </c>
      <c r="H240" s="70"/>
      <c r="I240" s="105">
        <f>SUM(I238:I239)</f>
        <v>574367</v>
      </c>
      <c r="J240" s="106"/>
      <c r="K240" s="106"/>
      <c r="L240" s="106"/>
      <c r="M240" s="106"/>
    </row>
    <row r="241" spans="1:13" ht="19.5" thickTop="1">
      <c r="A241" s="80"/>
      <c r="D241" s="80"/>
      <c r="G241" s="79"/>
      <c r="H241" s="79"/>
      <c r="I241" s="79"/>
      <c r="J241" s="79"/>
      <c r="K241" s="79"/>
      <c r="L241" s="79"/>
      <c r="M241" s="79"/>
    </row>
    <row r="242" spans="1:13" ht="18.75">
      <c r="A242" s="52" t="s">
        <v>178</v>
      </c>
      <c r="G242" s="7"/>
      <c r="H242" s="7"/>
      <c r="I242" s="7"/>
      <c r="J242" s="7"/>
      <c r="K242" s="7"/>
      <c r="L242" s="7"/>
      <c r="M242" s="7"/>
    </row>
    <row r="243" spans="1:13" ht="19.5" thickBot="1">
      <c r="A243" s="7" t="s">
        <v>207</v>
      </c>
      <c r="E243" s="16"/>
      <c r="G243" s="129">
        <f>(G238*1000)/G245</f>
        <v>0.8535808900698872</v>
      </c>
      <c r="H243" s="79"/>
      <c r="I243" s="129">
        <f>(I238*1000)/I245</f>
        <v>0.46253541533751674</v>
      </c>
      <c r="J243" s="79"/>
      <c r="K243" s="129">
        <f>(K238*1000)/K245</f>
        <v>0.23343959228140115</v>
      </c>
      <c r="L243" s="79"/>
      <c r="M243" s="129">
        <f>(M238*1000)/M245</f>
        <v>0.1528413599880411</v>
      </c>
    </row>
    <row r="244" spans="1:13" ht="15.75" customHeight="1" thickTop="1">
      <c r="A244" s="79"/>
      <c r="B244" s="79"/>
      <c r="C244" s="79"/>
      <c r="D244" s="79"/>
      <c r="F244" s="117"/>
      <c r="G244" s="130"/>
      <c r="H244" s="79"/>
      <c r="I244" s="130"/>
      <c r="J244" s="79"/>
      <c r="K244" s="130"/>
      <c r="L244" s="79"/>
      <c r="M244" s="130"/>
    </row>
    <row r="245" spans="1:13" ht="19.5" thickBot="1">
      <c r="A245" s="7" t="s">
        <v>50</v>
      </c>
      <c r="E245" s="16"/>
      <c r="G245" s="78">
        <v>1214181353</v>
      </c>
      <c r="H245" s="76"/>
      <c r="I245" s="78">
        <v>1181152798</v>
      </c>
      <c r="J245" s="76"/>
      <c r="K245" s="78">
        <v>1214181353</v>
      </c>
      <c r="L245" s="76"/>
      <c r="M245" s="78">
        <v>1181152798</v>
      </c>
    </row>
    <row r="246" spans="7:13" ht="19.5" thickTop="1">
      <c r="G246" s="79"/>
      <c r="H246" s="7"/>
      <c r="I246" s="79"/>
      <c r="J246" s="79"/>
      <c r="K246" s="79"/>
      <c r="L246" s="7"/>
      <c r="M246" s="79"/>
    </row>
    <row r="247" spans="1:13" ht="18.75">
      <c r="A247" s="80" t="s">
        <v>51</v>
      </c>
      <c r="G247" s="79"/>
      <c r="H247" s="7"/>
      <c r="I247" s="79"/>
      <c r="J247" s="79"/>
      <c r="K247" s="79"/>
      <c r="L247" s="7"/>
      <c r="M247" s="79"/>
    </row>
    <row r="248" spans="1:13" ht="18.75">
      <c r="A248" s="80"/>
      <c r="G248" s="79"/>
      <c r="H248" s="7"/>
      <c r="I248" s="79"/>
      <c r="J248" s="79"/>
      <c r="K248" s="79"/>
      <c r="L248" s="7"/>
      <c r="M248" s="79"/>
    </row>
    <row r="249" spans="1:13" ht="18.75">
      <c r="A249" s="80"/>
      <c r="G249" s="79"/>
      <c r="H249" s="7"/>
      <c r="I249" s="79"/>
      <c r="J249" s="79"/>
      <c r="K249" s="79"/>
      <c r="L249" s="7"/>
      <c r="M249" s="79"/>
    </row>
    <row r="250" spans="1:13" ht="18.75">
      <c r="A250" s="80"/>
      <c r="G250" s="79"/>
      <c r="H250" s="7"/>
      <c r="I250" s="79"/>
      <c r="J250" s="79"/>
      <c r="K250" s="79"/>
      <c r="L250" s="7"/>
      <c r="M250" s="79"/>
    </row>
    <row r="251" spans="1:13" ht="18.75">
      <c r="A251" s="80"/>
      <c r="G251" s="79"/>
      <c r="H251" s="7"/>
      <c r="I251" s="79"/>
      <c r="J251" s="79"/>
      <c r="K251" s="79"/>
      <c r="L251" s="7"/>
      <c r="M251" s="79"/>
    </row>
    <row r="252" spans="1:13" ht="18.75">
      <c r="A252" s="80"/>
      <c r="G252" s="79"/>
      <c r="H252" s="7"/>
      <c r="I252" s="79"/>
      <c r="J252" s="79"/>
      <c r="K252" s="79"/>
      <c r="L252" s="7"/>
      <c r="M252" s="79"/>
    </row>
    <row r="253" spans="1:13" ht="18.75">
      <c r="A253" s="80"/>
      <c r="G253" s="79"/>
      <c r="H253" s="7"/>
      <c r="I253" s="79"/>
      <c r="J253" s="79"/>
      <c r="K253" s="79"/>
      <c r="L253" s="7"/>
      <c r="M253" s="79"/>
    </row>
    <row r="254" spans="1:13" ht="18.75">
      <c r="A254" s="80"/>
      <c r="G254" s="79"/>
      <c r="H254" s="7"/>
      <c r="I254" s="79"/>
      <c r="J254" s="79"/>
      <c r="K254" s="79"/>
      <c r="L254" s="7"/>
      <c r="M254" s="79"/>
    </row>
    <row r="255" spans="1:13" ht="18.75">
      <c r="A255" s="80"/>
      <c r="G255" s="79"/>
      <c r="H255" s="7"/>
      <c r="I255" s="79"/>
      <c r="J255" s="79"/>
      <c r="K255" s="79"/>
      <c r="L255" s="7"/>
      <c r="M255" s="79"/>
    </row>
    <row r="256" spans="1:13" ht="18.75">
      <c r="A256" s="80"/>
      <c r="G256" s="79"/>
      <c r="H256" s="7"/>
      <c r="I256" s="79"/>
      <c r="J256" s="79"/>
      <c r="K256" s="79"/>
      <c r="L256" s="7"/>
      <c r="M256" s="79"/>
    </row>
    <row r="257" spans="1:13" ht="18.75">
      <c r="A257" s="80"/>
      <c r="G257" s="79"/>
      <c r="H257" s="7"/>
      <c r="I257" s="79"/>
      <c r="J257" s="79"/>
      <c r="K257" s="79"/>
      <c r="L257" s="7"/>
      <c r="M257" s="79"/>
    </row>
    <row r="258" spans="7:13" ht="18.75">
      <c r="G258" s="79"/>
      <c r="H258" s="7"/>
      <c r="I258" s="79"/>
      <c r="J258" s="79"/>
      <c r="K258" s="79"/>
      <c r="L258" s="7"/>
      <c r="M258" s="79"/>
    </row>
    <row r="259" spans="7:13" ht="18.75">
      <c r="G259" s="79"/>
      <c r="H259" s="7"/>
      <c r="I259" s="79"/>
      <c r="J259" s="79"/>
      <c r="K259" s="79"/>
      <c r="L259" s="7"/>
      <c r="M259" s="79"/>
    </row>
    <row r="260" spans="1:13" s="80" customFormat="1" ht="18.75">
      <c r="A260" s="151">
        <v>5</v>
      </c>
      <c r="B260" s="152"/>
      <c r="C260" s="152"/>
      <c r="D260" s="152"/>
      <c r="E260" s="152"/>
      <c r="F260" s="152"/>
      <c r="G260" s="152"/>
      <c r="H260" s="152"/>
      <c r="I260" s="152"/>
      <c r="J260" s="152"/>
      <c r="K260" s="152"/>
      <c r="L260" s="152"/>
      <c r="M260" s="152"/>
    </row>
    <row r="261" spans="1:13" ht="18.75">
      <c r="A261" s="53"/>
      <c r="B261" s="53"/>
      <c r="C261" s="53"/>
      <c r="D261" s="53"/>
      <c r="E261" s="123"/>
      <c r="F261" s="123"/>
      <c r="G261" s="53"/>
      <c r="K261" s="7"/>
      <c r="L261" s="7"/>
      <c r="M261" s="13" t="s">
        <v>175</v>
      </c>
    </row>
    <row r="262" spans="1:13" ht="18.75">
      <c r="A262" s="149" t="s">
        <v>53</v>
      </c>
      <c r="B262" s="149"/>
      <c r="C262" s="149"/>
      <c r="D262" s="149"/>
      <c r="E262" s="149"/>
      <c r="F262" s="149"/>
      <c r="G262" s="149"/>
      <c r="H262" s="149"/>
      <c r="I262" s="149"/>
      <c r="J262" s="149"/>
      <c r="K262" s="149"/>
      <c r="L262" s="149"/>
      <c r="M262" s="149"/>
    </row>
    <row r="263" spans="1:13" ht="18.75">
      <c r="A263" s="149" t="s">
        <v>36</v>
      </c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</row>
    <row r="264" spans="1:13" ht="18.75">
      <c r="A264" s="149" t="s">
        <v>223</v>
      </c>
      <c r="B264" s="149"/>
      <c r="C264" s="149"/>
      <c r="D264" s="149"/>
      <c r="E264" s="149"/>
      <c r="F264" s="149"/>
      <c r="G264" s="149"/>
      <c r="H264" s="149"/>
      <c r="I264" s="149"/>
      <c r="J264" s="149"/>
      <c r="K264" s="149"/>
      <c r="L264" s="149"/>
      <c r="M264" s="149"/>
    </row>
    <row r="265" spans="3:13" ht="18.75">
      <c r="C265" s="14"/>
      <c r="D265" s="14"/>
      <c r="E265" s="14"/>
      <c r="F265" s="124"/>
      <c r="G265" s="14"/>
      <c r="H265" s="14"/>
      <c r="I265" s="14"/>
      <c r="J265" s="14"/>
      <c r="K265" s="13"/>
      <c r="L265" s="7"/>
      <c r="M265" s="13" t="s">
        <v>196</v>
      </c>
    </row>
    <row r="266" spans="7:13" s="112" customFormat="1" ht="18.75">
      <c r="G266" s="74"/>
      <c r="H266" s="74" t="s">
        <v>43</v>
      </c>
      <c r="I266" s="74"/>
      <c r="J266" s="80"/>
      <c r="K266" s="74"/>
      <c r="L266" s="74" t="s">
        <v>157</v>
      </c>
      <c r="M266" s="74"/>
    </row>
    <row r="267" spans="5:13" s="80" customFormat="1" ht="18.75">
      <c r="E267" s="113"/>
      <c r="G267" s="125" t="s">
        <v>187</v>
      </c>
      <c r="H267" s="126"/>
      <c r="I267" s="125" t="s">
        <v>176</v>
      </c>
      <c r="J267" s="127"/>
      <c r="K267" s="125" t="s">
        <v>187</v>
      </c>
      <c r="L267" s="126"/>
      <c r="M267" s="125" t="s">
        <v>176</v>
      </c>
    </row>
    <row r="268" spans="1:13" ht="18.75">
      <c r="A268" s="52" t="s">
        <v>18</v>
      </c>
      <c r="E268" s="117"/>
      <c r="F268" s="117"/>
      <c r="G268" s="131"/>
      <c r="H268" s="7"/>
      <c r="I268" s="131"/>
      <c r="J268" s="7"/>
      <c r="K268" s="131"/>
      <c r="L268" s="121"/>
      <c r="M268" s="7"/>
    </row>
    <row r="269" spans="1:13" ht="18.75">
      <c r="A269" s="7" t="s">
        <v>208</v>
      </c>
      <c r="G269" s="106">
        <f>G235-G234</f>
        <v>1440184</v>
      </c>
      <c r="H269" s="106">
        <f>SUM(H234:H235)</f>
        <v>0</v>
      </c>
      <c r="I269" s="106">
        <f>I235-I234</f>
        <v>841586</v>
      </c>
      <c r="J269" s="106">
        <f>SUM(J234:J235)</f>
        <v>0</v>
      </c>
      <c r="K269" s="106">
        <f>K235-K234</f>
        <v>425825</v>
      </c>
      <c r="L269" s="106">
        <f>SUM(L234:L235)</f>
        <v>0</v>
      </c>
      <c r="M269" s="106">
        <f>M235-M234</f>
        <v>290670</v>
      </c>
    </row>
    <row r="270" spans="1:13" ht="18.75">
      <c r="A270" s="7" t="s">
        <v>249</v>
      </c>
      <c r="G270" s="106"/>
      <c r="H270" s="106"/>
      <c r="I270" s="106"/>
      <c r="J270" s="106"/>
      <c r="K270" s="132"/>
      <c r="L270" s="106"/>
      <c r="M270" s="132"/>
    </row>
    <row r="271" spans="2:13" ht="18.75">
      <c r="B271" s="7" t="s">
        <v>39</v>
      </c>
      <c r="G271" s="106"/>
      <c r="H271" s="106"/>
      <c r="I271" s="106"/>
      <c r="J271" s="106"/>
      <c r="K271" s="132"/>
      <c r="L271" s="106"/>
      <c r="M271" s="132"/>
    </row>
    <row r="272" spans="2:13" s="3" customFormat="1" ht="18.75">
      <c r="B272" s="133" t="s">
        <v>116</v>
      </c>
      <c r="C272" s="133"/>
      <c r="E272" s="80"/>
      <c r="F272" s="80"/>
      <c r="G272" s="134">
        <f>+G230</f>
        <v>1061193</v>
      </c>
      <c r="H272" s="134"/>
      <c r="I272" s="106">
        <v>891069</v>
      </c>
      <c r="J272" s="134"/>
      <c r="K272" s="134">
        <f>+K230</f>
        <v>348548</v>
      </c>
      <c r="L272" s="134"/>
      <c r="M272" s="106">
        <v>265325</v>
      </c>
    </row>
    <row r="273" spans="2:13" s="3" customFormat="1" ht="18.75">
      <c r="B273" s="133" t="s">
        <v>41</v>
      </c>
      <c r="C273" s="133"/>
      <c r="E273" s="80"/>
      <c r="F273" s="80"/>
      <c r="G273" s="134">
        <v>56523</v>
      </c>
      <c r="H273" s="134"/>
      <c r="I273" s="106">
        <v>13328</v>
      </c>
      <c r="J273" s="134"/>
      <c r="K273" s="134">
        <v>37503</v>
      </c>
      <c r="L273" s="134"/>
      <c r="M273" s="106">
        <v>3270</v>
      </c>
    </row>
    <row r="274" spans="2:13" s="3" customFormat="1" ht="18.75">
      <c r="B274" s="133" t="s">
        <v>73</v>
      </c>
      <c r="C274" s="133"/>
      <c r="E274" s="80"/>
      <c r="F274" s="80"/>
      <c r="G274" s="134">
        <v>-18843</v>
      </c>
      <c r="H274" s="134"/>
      <c r="I274" s="106">
        <v>-16303</v>
      </c>
      <c r="J274" s="134"/>
      <c r="K274" s="134">
        <v>-18843</v>
      </c>
      <c r="L274" s="134"/>
      <c r="M274" s="106">
        <v>-16303</v>
      </c>
    </row>
    <row r="275" spans="2:13" s="3" customFormat="1" ht="18.75">
      <c r="B275" s="133" t="str">
        <f>+A173</f>
        <v>ส่วนแบ่งกำไรจากเงินลงทุนในบริษัทร่วม</v>
      </c>
      <c r="C275" s="133"/>
      <c r="E275" s="80"/>
      <c r="F275" s="80"/>
      <c r="G275" s="134">
        <v>-86169</v>
      </c>
      <c r="H275" s="134"/>
      <c r="I275" s="106">
        <v>-6707</v>
      </c>
      <c r="J275" s="134"/>
      <c r="K275" s="134">
        <v>0</v>
      </c>
      <c r="L275" s="134"/>
      <c r="M275" s="106" t="s">
        <v>78</v>
      </c>
    </row>
    <row r="276" spans="2:13" s="3" customFormat="1" ht="18.75">
      <c r="B276" s="133" t="s">
        <v>216</v>
      </c>
      <c r="C276" s="133"/>
      <c r="E276" s="80"/>
      <c r="F276" s="80"/>
      <c r="G276" s="134">
        <v>-41773</v>
      </c>
      <c r="H276" s="134"/>
      <c r="I276" s="106">
        <v>0</v>
      </c>
      <c r="J276" s="134"/>
      <c r="K276" s="134">
        <v>0</v>
      </c>
      <c r="L276" s="134"/>
      <c r="M276" s="106">
        <v>0</v>
      </c>
    </row>
    <row r="277" spans="2:13" s="3" customFormat="1" ht="18.75">
      <c r="B277" s="133" t="s">
        <v>229</v>
      </c>
      <c r="C277" s="133"/>
      <c r="E277" s="80"/>
      <c r="F277" s="80"/>
      <c r="G277" s="134">
        <f>-G222</f>
        <v>-319</v>
      </c>
      <c r="H277" s="134"/>
      <c r="I277" s="134">
        <f>-I222</f>
        <v>-13942</v>
      </c>
      <c r="J277" s="134"/>
      <c r="K277" s="134">
        <f>-K222</f>
        <v>-73548</v>
      </c>
      <c r="L277" s="134"/>
      <c r="M277" s="134">
        <f>-M222</f>
        <v>-39825</v>
      </c>
    </row>
    <row r="278" spans="2:13" s="3" customFormat="1" ht="18.75">
      <c r="B278" s="133" t="s">
        <v>228</v>
      </c>
      <c r="C278" s="133"/>
      <c r="E278" s="80"/>
      <c r="F278" s="80"/>
      <c r="G278" s="134">
        <v>-1991</v>
      </c>
      <c r="H278" s="134"/>
      <c r="I278" s="106">
        <v>0</v>
      </c>
      <c r="J278" s="134"/>
      <c r="K278" s="134">
        <v>0</v>
      </c>
      <c r="L278" s="134"/>
      <c r="M278" s="106">
        <v>0</v>
      </c>
    </row>
    <row r="279" spans="2:13" s="3" customFormat="1" ht="18.75">
      <c r="B279" s="133" t="s">
        <v>238</v>
      </c>
      <c r="C279" s="133"/>
      <c r="E279" s="80"/>
      <c r="F279" s="80"/>
      <c r="G279" s="134">
        <v>-66</v>
      </c>
      <c r="H279" s="134"/>
      <c r="I279" s="106">
        <v>0</v>
      </c>
      <c r="J279" s="134"/>
      <c r="K279" s="134">
        <v>0</v>
      </c>
      <c r="L279" s="134"/>
      <c r="M279" s="106">
        <v>0</v>
      </c>
    </row>
    <row r="280" spans="2:13" s="3" customFormat="1" ht="18.75">
      <c r="B280" s="133" t="s">
        <v>72</v>
      </c>
      <c r="C280" s="133"/>
      <c r="E280" s="80"/>
      <c r="F280" s="80"/>
      <c r="G280" s="134">
        <v>0</v>
      </c>
      <c r="H280" s="134"/>
      <c r="I280" s="106">
        <v>73726</v>
      </c>
      <c r="J280" s="134"/>
      <c r="K280" s="134">
        <v>0</v>
      </c>
      <c r="L280" s="134"/>
      <c r="M280" s="106" t="s">
        <v>78</v>
      </c>
    </row>
    <row r="281" spans="2:13" s="3" customFormat="1" ht="18.75">
      <c r="B281" s="133" t="s">
        <v>99</v>
      </c>
      <c r="C281" s="133"/>
      <c r="E281" s="80"/>
      <c r="F281" s="80"/>
      <c r="G281" s="134">
        <v>8392</v>
      </c>
      <c r="H281" s="134"/>
      <c r="I281" s="106">
        <v>3500</v>
      </c>
      <c r="J281" s="134"/>
      <c r="K281" s="134">
        <v>810</v>
      </c>
      <c r="L281" s="134"/>
      <c r="M281" s="106">
        <v>2030</v>
      </c>
    </row>
    <row r="282" spans="2:13" s="3" customFormat="1" ht="18.75">
      <c r="B282" s="133" t="s">
        <v>138</v>
      </c>
      <c r="C282" s="133"/>
      <c r="E282" s="80"/>
      <c r="F282" s="80"/>
      <c r="G282" s="134">
        <f>+K282</f>
        <v>34375</v>
      </c>
      <c r="H282" s="134"/>
      <c r="I282" s="106">
        <v>55145</v>
      </c>
      <c r="J282" s="134"/>
      <c r="K282" s="134">
        <v>34375</v>
      </c>
      <c r="L282" s="134"/>
      <c r="M282" s="106">
        <v>55145</v>
      </c>
    </row>
    <row r="283" spans="2:13" s="3" customFormat="1" ht="18.75">
      <c r="B283" s="133" t="s">
        <v>139</v>
      </c>
      <c r="C283" s="133"/>
      <c r="E283" s="80"/>
      <c r="F283" s="80"/>
      <c r="G283" s="134">
        <f>+K283</f>
        <v>13390</v>
      </c>
      <c r="H283" s="134"/>
      <c r="I283" s="106">
        <v>12641</v>
      </c>
      <c r="J283" s="134"/>
      <c r="K283" s="134">
        <v>13390</v>
      </c>
      <c r="L283" s="134"/>
      <c r="M283" s="106">
        <v>12641</v>
      </c>
    </row>
    <row r="284" spans="2:13" s="3" customFormat="1" ht="18.75">
      <c r="B284" s="133" t="s">
        <v>217</v>
      </c>
      <c r="C284" s="133"/>
      <c r="E284" s="80"/>
      <c r="F284" s="80"/>
      <c r="G284" s="134">
        <v>15519</v>
      </c>
      <c r="H284" s="134"/>
      <c r="I284" s="106">
        <v>-18366</v>
      </c>
      <c r="J284" s="134"/>
      <c r="K284" s="134">
        <v>3972</v>
      </c>
      <c r="L284" s="134"/>
      <c r="M284" s="106">
        <v>-1177</v>
      </c>
    </row>
    <row r="285" spans="2:13" s="3" customFormat="1" ht="18.75">
      <c r="B285" s="133" t="s">
        <v>179</v>
      </c>
      <c r="C285" s="133"/>
      <c r="E285" s="80"/>
      <c r="F285" s="80"/>
      <c r="G285" s="134">
        <v>0</v>
      </c>
      <c r="H285" s="134"/>
      <c r="I285" s="106">
        <v>-4450</v>
      </c>
      <c r="J285" s="134"/>
      <c r="K285" s="134">
        <v>0</v>
      </c>
      <c r="L285" s="134"/>
      <c r="M285" s="106" t="s">
        <v>78</v>
      </c>
    </row>
    <row r="286" spans="2:13" s="3" customFormat="1" ht="18.75">
      <c r="B286" s="133" t="s">
        <v>213</v>
      </c>
      <c r="C286" s="133"/>
      <c r="E286" s="80"/>
      <c r="F286" s="80"/>
      <c r="G286" s="136">
        <f>-G233</f>
        <v>311804</v>
      </c>
      <c r="H286" s="134"/>
      <c r="I286" s="136">
        <f>-I233</f>
        <v>370541</v>
      </c>
      <c r="J286" s="134"/>
      <c r="K286" s="136">
        <f>-K233</f>
        <v>253787</v>
      </c>
      <c r="L286" s="134"/>
      <c r="M286" s="136">
        <f>-M233</f>
        <v>220092</v>
      </c>
    </row>
    <row r="287" spans="1:13" ht="18.75">
      <c r="A287" s="7" t="s">
        <v>37</v>
      </c>
      <c r="G287" s="106"/>
      <c r="H287" s="106"/>
      <c r="I287" s="106"/>
      <c r="J287" s="106"/>
      <c r="K287" s="106"/>
      <c r="L287" s="106"/>
      <c r="M287" s="106"/>
    </row>
    <row r="288" spans="2:13" ht="18.75">
      <c r="B288" s="7" t="s">
        <v>40</v>
      </c>
      <c r="G288" s="70">
        <f>SUM(G269:G286)</f>
        <v>2792219</v>
      </c>
      <c r="H288" s="106"/>
      <c r="I288" s="70">
        <f>SUM(I269:I286)</f>
        <v>2201768</v>
      </c>
      <c r="J288" s="106"/>
      <c r="K288" s="70">
        <f>SUM(K269:K286)</f>
        <v>1025819</v>
      </c>
      <c r="L288" s="106"/>
      <c r="M288" s="70">
        <f>SUM(M269:M286)</f>
        <v>791868</v>
      </c>
    </row>
    <row r="289" spans="1:13" ht="18.75">
      <c r="A289" s="7" t="s">
        <v>100</v>
      </c>
      <c r="G289" s="106"/>
      <c r="H289" s="106"/>
      <c r="I289" s="106"/>
      <c r="J289" s="106"/>
      <c r="K289" s="106"/>
      <c r="L289" s="106"/>
      <c r="M289" s="106"/>
    </row>
    <row r="290" spans="2:13" s="3" customFormat="1" ht="18.75">
      <c r="B290" s="133" t="s">
        <v>82</v>
      </c>
      <c r="C290" s="133"/>
      <c r="E290" s="80"/>
      <c r="F290" s="80"/>
      <c r="G290" s="134">
        <f>+I16-G16-G273</f>
        <v>-69468</v>
      </c>
      <c r="H290" s="134"/>
      <c r="I290" s="134">
        <v>2501</v>
      </c>
      <c r="J290" s="134"/>
      <c r="K290" s="134">
        <f>+M16-K16-K273</f>
        <v>-2775</v>
      </c>
      <c r="L290" s="134"/>
      <c r="M290" s="134">
        <v>-950</v>
      </c>
    </row>
    <row r="291" spans="2:13" s="3" customFormat="1" ht="18.75">
      <c r="B291" s="133" t="s">
        <v>180</v>
      </c>
      <c r="C291" s="133"/>
      <c r="E291" s="80"/>
      <c r="F291" s="80"/>
      <c r="G291" s="134">
        <v>-30737</v>
      </c>
      <c r="H291" s="134"/>
      <c r="I291" s="134">
        <v>-10331</v>
      </c>
      <c r="J291" s="134"/>
      <c r="K291" s="134">
        <v>-35620</v>
      </c>
      <c r="L291" s="134"/>
      <c r="M291" s="134">
        <v>-62484</v>
      </c>
    </row>
    <row r="292" spans="2:13" s="3" customFormat="1" ht="18.75">
      <c r="B292" s="133" t="s">
        <v>55</v>
      </c>
      <c r="C292" s="133"/>
      <c r="E292" s="80"/>
      <c r="F292" s="80"/>
      <c r="G292" s="134">
        <f>+I20-G20</f>
        <v>30559</v>
      </c>
      <c r="H292" s="134"/>
      <c r="I292" s="134">
        <v>16190</v>
      </c>
      <c r="J292" s="134"/>
      <c r="K292" s="134">
        <f>+M20-K20</f>
        <v>11823</v>
      </c>
      <c r="L292" s="134"/>
      <c r="M292" s="134">
        <v>93</v>
      </c>
    </row>
    <row r="293" spans="2:13" s="3" customFormat="1" ht="18.75">
      <c r="B293" s="133" t="s">
        <v>101</v>
      </c>
      <c r="C293" s="133"/>
      <c r="E293" s="80"/>
      <c r="F293" s="80"/>
      <c r="G293" s="134">
        <f>+I21-G21</f>
        <v>-48868</v>
      </c>
      <c r="H293" s="134"/>
      <c r="I293" s="134">
        <v>-10720</v>
      </c>
      <c r="J293" s="134"/>
      <c r="K293" s="134">
        <v>-8366</v>
      </c>
      <c r="L293" s="134"/>
      <c r="M293" s="134">
        <v>-5185</v>
      </c>
    </row>
    <row r="294" spans="2:13" s="3" customFormat="1" ht="18.75">
      <c r="B294" s="133" t="s">
        <v>102</v>
      </c>
      <c r="C294" s="133"/>
      <c r="E294" s="80"/>
      <c r="F294" s="80"/>
      <c r="G294" s="134">
        <f>+I35-G35</f>
        <v>-31017</v>
      </c>
      <c r="H294" s="134"/>
      <c r="I294" s="134">
        <v>-12337</v>
      </c>
      <c r="J294" s="134"/>
      <c r="K294" s="134">
        <v>1399</v>
      </c>
      <c r="L294" s="134"/>
      <c r="M294" s="134">
        <v>-374</v>
      </c>
    </row>
    <row r="295" spans="1:13" s="3" customFormat="1" ht="18.75">
      <c r="A295" s="7" t="s">
        <v>103</v>
      </c>
      <c r="B295" s="133"/>
      <c r="C295" s="133"/>
      <c r="E295" s="80"/>
      <c r="F295" s="80"/>
      <c r="G295" s="134"/>
      <c r="H295" s="134"/>
      <c r="I295" s="134"/>
      <c r="J295" s="134"/>
      <c r="K295" s="134"/>
      <c r="L295" s="134"/>
      <c r="M295" s="134"/>
    </row>
    <row r="296" spans="2:13" s="3" customFormat="1" ht="18.75">
      <c r="B296" s="133" t="s">
        <v>7</v>
      </c>
      <c r="C296" s="133"/>
      <c r="E296" s="80"/>
      <c r="F296" s="80"/>
      <c r="G296" s="134">
        <f>+G68-I68</f>
        <v>42051</v>
      </c>
      <c r="H296" s="134"/>
      <c r="I296" s="134">
        <v>-36271</v>
      </c>
      <c r="J296" s="134"/>
      <c r="K296" s="134">
        <f>+K68-M68</f>
        <v>2733</v>
      </c>
      <c r="L296" s="134"/>
      <c r="M296" s="134">
        <v>34197</v>
      </c>
    </row>
    <row r="297" spans="2:13" s="3" customFormat="1" ht="18.75">
      <c r="B297" s="133" t="s">
        <v>93</v>
      </c>
      <c r="C297" s="133"/>
      <c r="E297" s="80"/>
      <c r="F297" s="80"/>
      <c r="G297" s="134">
        <f>+G73-I73</f>
        <v>1986</v>
      </c>
      <c r="H297" s="134"/>
      <c r="I297" s="134">
        <v>16728</v>
      </c>
      <c r="J297" s="134"/>
      <c r="K297" s="134">
        <f>+K73-M73</f>
        <v>-28387</v>
      </c>
      <c r="L297" s="134"/>
      <c r="M297" s="134">
        <v>-7003</v>
      </c>
    </row>
    <row r="298" spans="2:13" s="3" customFormat="1" ht="18.75">
      <c r="B298" s="133" t="s">
        <v>62</v>
      </c>
      <c r="C298" s="133"/>
      <c r="E298" s="80"/>
      <c r="F298" s="80"/>
      <c r="G298" s="134">
        <v>323729</v>
      </c>
      <c r="H298" s="134"/>
      <c r="I298" s="134">
        <f>428113+31355</f>
        <v>459468</v>
      </c>
      <c r="J298" s="134"/>
      <c r="K298" s="134">
        <f>84038+2</f>
        <v>84040</v>
      </c>
      <c r="L298" s="134"/>
      <c r="M298" s="134">
        <f>126635+30356</f>
        <v>156991</v>
      </c>
    </row>
    <row r="299" spans="2:13" s="3" customFormat="1" ht="18.75">
      <c r="B299" s="133" t="s">
        <v>8</v>
      </c>
      <c r="C299" s="133"/>
      <c r="E299" s="80"/>
      <c r="F299" s="80"/>
      <c r="G299" s="134">
        <f>-42527-2</f>
        <v>-42529</v>
      </c>
      <c r="H299" s="134"/>
      <c r="I299" s="134">
        <v>-264553</v>
      </c>
      <c r="J299" s="134"/>
      <c r="K299" s="134">
        <f>+K76-M76</f>
        <v>-16134</v>
      </c>
      <c r="L299" s="134"/>
      <c r="M299" s="134">
        <v>-71563</v>
      </c>
    </row>
    <row r="300" spans="2:13" s="3" customFormat="1" ht="18.75">
      <c r="B300" s="133" t="s">
        <v>63</v>
      </c>
      <c r="C300" s="133"/>
      <c r="E300" s="80"/>
      <c r="F300" s="80"/>
      <c r="G300" s="134">
        <f>+G84-I84-G274</f>
        <v>8000</v>
      </c>
      <c r="H300" s="134"/>
      <c r="I300" s="134">
        <v>54000</v>
      </c>
      <c r="J300" s="134"/>
      <c r="K300" s="134">
        <f>+K84-M84-K274</f>
        <v>8000</v>
      </c>
      <c r="L300" s="134"/>
      <c r="M300" s="134">
        <v>54000</v>
      </c>
    </row>
    <row r="301" spans="2:13" s="3" customFormat="1" ht="18.75">
      <c r="B301" s="133" t="s">
        <v>64</v>
      </c>
      <c r="C301" s="133"/>
      <c r="E301" s="80"/>
      <c r="F301" s="80"/>
      <c r="G301" s="136">
        <f>+G85-I85</f>
        <v>7432</v>
      </c>
      <c r="H301" s="135"/>
      <c r="I301" s="136">
        <v>-36223</v>
      </c>
      <c r="J301" s="135"/>
      <c r="K301" s="136">
        <f>+K85-M85</f>
        <v>2509</v>
      </c>
      <c r="L301" s="135"/>
      <c r="M301" s="136">
        <v>-10204</v>
      </c>
    </row>
    <row r="302" spans="1:13" s="3" customFormat="1" ht="18.75">
      <c r="A302" s="7" t="s">
        <v>210</v>
      </c>
      <c r="B302" s="7"/>
      <c r="C302" s="7"/>
      <c r="D302" s="7"/>
      <c r="E302" s="80"/>
      <c r="F302" s="80"/>
      <c r="G302" s="135">
        <f>SUM(G288:G301)</f>
        <v>2983357</v>
      </c>
      <c r="H302" s="135"/>
      <c r="I302" s="135">
        <f>SUM(I288:I301)</f>
        <v>2380220</v>
      </c>
      <c r="J302" s="135"/>
      <c r="K302" s="135">
        <f>SUM(K288:K301)</f>
        <v>1045041</v>
      </c>
      <c r="L302" s="135"/>
      <c r="M302" s="135">
        <f>SUM(M288:M301)</f>
        <v>879386</v>
      </c>
    </row>
    <row r="303" spans="1:13" s="3" customFormat="1" ht="18.75">
      <c r="A303" s="148"/>
      <c r="B303" s="148" t="s">
        <v>211</v>
      </c>
      <c r="C303" s="7"/>
      <c r="D303" s="7"/>
      <c r="E303" s="80"/>
      <c r="F303" s="80"/>
      <c r="G303" s="135">
        <v>-364757</v>
      </c>
      <c r="H303" s="135"/>
      <c r="I303" s="135">
        <v>-402339</v>
      </c>
      <c r="J303" s="135"/>
      <c r="K303" s="135">
        <v>-188826</v>
      </c>
      <c r="L303" s="135"/>
      <c r="M303" s="135">
        <v>-250033</v>
      </c>
    </row>
    <row r="304" spans="1:13" s="3" customFormat="1" ht="18.75">
      <c r="A304" s="148"/>
      <c r="B304" s="148" t="s">
        <v>212</v>
      </c>
      <c r="C304" s="7"/>
      <c r="D304" s="7"/>
      <c r="E304" s="80"/>
      <c r="F304" s="80"/>
      <c r="G304" s="136">
        <v>-292558</v>
      </c>
      <c r="H304" s="134"/>
      <c r="I304" s="136">
        <v>-278044</v>
      </c>
      <c r="J304" s="134"/>
      <c r="K304" s="136">
        <v>-129390</v>
      </c>
      <c r="L304" s="134"/>
      <c r="M304" s="136">
        <v>-58341</v>
      </c>
    </row>
    <row r="305" spans="1:13" ht="18.75">
      <c r="A305" s="52" t="s">
        <v>181</v>
      </c>
      <c r="G305" s="108">
        <f>SUM(G302:G304)</f>
        <v>2326042</v>
      </c>
      <c r="H305" s="106"/>
      <c r="I305" s="108">
        <f>SUM(I302:I304)</f>
        <v>1699837</v>
      </c>
      <c r="J305" s="106"/>
      <c r="K305" s="108">
        <f>SUM(K302:K304)</f>
        <v>726825</v>
      </c>
      <c r="L305" s="70"/>
      <c r="M305" s="108">
        <f>SUM(M302:M304)</f>
        <v>571012</v>
      </c>
    </row>
    <row r="306" spans="7:13" ht="18.75">
      <c r="G306" s="77"/>
      <c r="H306" s="7"/>
      <c r="I306" s="77"/>
      <c r="J306" s="7"/>
      <c r="K306" s="7"/>
      <c r="L306" s="7"/>
      <c r="M306" s="7"/>
    </row>
    <row r="307" spans="1:13" ht="18.75">
      <c r="A307" s="80"/>
      <c r="G307" s="79"/>
      <c r="H307" s="7"/>
      <c r="I307" s="79"/>
      <c r="J307" s="79"/>
      <c r="K307" s="79"/>
      <c r="L307" s="7"/>
      <c r="M307" s="79"/>
    </row>
    <row r="308" spans="1:13" ht="18.75">
      <c r="A308" s="80" t="s">
        <v>51</v>
      </c>
      <c r="G308" s="79"/>
      <c r="H308" s="7"/>
      <c r="I308" s="79"/>
      <c r="J308" s="79"/>
      <c r="K308" s="79"/>
      <c r="L308" s="7"/>
      <c r="M308" s="79"/>
    </row>
    <row r="309" spans="1:13" ht="18.75">
      <c r="A309" s="80"/>
      <c r="G309" s="79"/>
      <c r="H309" s="7"/>
      <c r="I309" s="79"/>
      <c r="J309" s="79"/>
      <c r="K309" s="79"/>
      <c r="L309" s="7"/>
      <c r="M309" s="79"/>
    </row>
    <row r="310" spans="1:13" ht="18.75">
      <c r="A310" s="80"/>
      <c r="G310" s="79"/>
      <c r="H310" s="7"/>
      <c r="I310" s="79"/>
      <c r="J310" s="79"/>
      <c r="K310" s="79"/>
      <c r="L310" s="7"/>
      <c r="M310" s="79"/>
    </row>
    <row r="311" spans="1:13" ht="14.25" customHeight="1">
      <c r="A311" s="80"/>
      <c r="G311" s="79"/>
      <c r="H311" s="7"/>
      <c r="I311" s="79"/>
      <c r="J311" s="79"/>
      <c r="K311" s="79"/>
      <c r="L311" s="7"/>
      <c r="M311" s="79"/>
    </row>
    <row r="312" spans="1:13" s="80" customFormat="1" ht="18.75">
      <c r="A312" s="151">
        <v>8</v>
      </c>
      <c r="B312" s="152"/>
      <c r="C312" s="152"/>
      <c r="D312" s="152"/>
      <c r="E312" s="152"/>
      <c r="F312" s="152"/>
      <c r="G312" s="152"/>
      <c r="H312" s="152"/>
      <c r="I312" s="152"/>
      <c r="J312" s="152"/>
      <c r="K312" s="152"/>
      <c r="L312" s="152"/>
      <c r="M312" s="152"/>
    </row>
    <row r="313" spans="1:13" ht="18.75">
      <c r="A313" s="53"/>
      <c r="B313" s="53"/>
      <c r="C313" s="53"/>
      <c r="D313" s="53"/>
      <c r="E313" s="123"/>
      <c r="F313" s="123"/>
      <c r="G313" s="53"/>
      <c r="K313" s="7"/>
      <c r="L313" s="7"/>
      <c r="M313" s="13" t="s">
        <v>175</v>
      </c>
    </row>
    <row r="314" spans="1:13" ht="18.75">
      <c r="A314" s="149" t="s">
        <v>53</v>
      </c>
      <c r="B314" s="149"/>
      <c r="C314" s="149"/>
      <c r="D314" s="149"/>
      <c r="E314" s="149"/>
      <c r="F314" s="149"/>
      <c r="G314" s="149"/>
      <c r="H314" s="149"/>
      <c r="I314" s="149"/>
      <c r="J314" s="149"/>
      <c r="K314" s="149"/>
      <c r="L314" s="149"/>
      <c r="M314" s="149"/>
    </row>
    <row r="315" spans="1:13" ht="18.75">
      <c r="A315" s="149" t="s">
        <v>182</v>
      </c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</row>
    <row r="316" spans="1:13" ht="18.75">
      <c r="A316" s="149" t="s">
        <v>223</v>
      </c>
      <c r="B316" s="149"/>
      <c r="C316" s="149"/>
      <c r="D316" s="149"/>
      <c r="E316" s="149"/>
      <c r="F316" s="149"/>
      <c r="G316" s="149"/>
      <c r="H316" s="149"/>
      <c r="I316" s="149"/>
      <c r="J316" s="149"/>
      <c r="K316" s="149"/>
      <c r="L316" s="149"/>
      <c r="M316" s="149"/>
    </row>
    <row r="317" spans="3:13" ht="18.75">
      <c r="C317" s="14"/>
      <c r="D317" s="14"/>
      <c r="E317" s="14"/>
      <c r="F317" s="124"/>
      <c r="G317" s="14"/>
      <c r="H317" s="14"/>
      <c r="I317" s="14"/>
      <c r="J317" s="14"/>
      <c r="K317" s="13"/>
      <c r="L317" s="7"/>
      <c r="M317" s="13" t="s">
        <v>196</v>
      </c>
    </row>
    <row r="318" spans="7:13" s="112" customFormat="1" ht="18.75">
      <c r="G318" s="74"/>
      <c r="H318" s="74" t="s">
        <v>43</v>
      </c>
      <c r="I318" s="74"/>
      <c r="J318" s="80"/>
      <c r="K318" s="74"/>
      <c r="L318" s="74" t="s">
        <v>157</v>
      </c>
      <c r="M318" s="74"/>
    </row>
    <row r="319" spans="5:13" s="80" customFormat="1" ht="18.75">
      <c r="E319" s="113"/>
      <c r="G319" s="125" t="s">
        <v>187</v>
      </c>
      <c r="H319" s="126"/>
      <c r="I319" s="125" t="s">
        <v>176</v>
      </c>
      <c r="J319" s="127"/>
      <c r="K319" s="125" t="s">
        <v>187</v>
      </c>
      <c r="L319" s="126"/>
      <c r="M319" s="125" t="s">
        <v>176</v>
      </c>
    </row>
    <row r="320" spans="1:9" ht="18.75">
      <c r="A320" s="52" t="s">
        <v>19</v>
      </c>
      <c r="I320" s="68"/>
    </row>
    <row r="321" spans="1:13" s="3" customFormat="1" ht="18.75">
      <c r="A321" s="133" t="s">
        <v>246</v>
      </c>
      <c r="B321" s="133"/>
      <c r="C321" s="133"/>
      <c r="E321" s="80"/>
      <c r="F321" s="80"/>
      <c r="G321" s="134">
        <v>-13643</v>
      </c>
      <c r="H321" s="134"/>
      <c r="I321" s="134">
        <v>41300</v>
      </c>
      <c r="J321" s="134"/>
      <c r="K321" s="134">
        <v>0</v>
      </c>
      <c r="L321" s="134"/>
      <c r="M321" s="134">
        <v>0</v>
      </c>
    </row>
    <row r="322" spans="1:13" s="3" customFormat="1" ht="18.75">
      <c r="A322" s="133" t="s">
        <v>218</v>
      </c>
      <c r="B322" s="133"/>
      <c r="C322" s="133"/>
      <c r="E322" s="80"/>
      <c r="F322" s="80"/>
      <c r="G322" s="134">
        <v>-703599</v>
      </c>
      <c r="H322" s="134"/>
      <c r="I322" s="134">
        <v>-86964</v>
      </c>
      <c r="J322" s="134"/>
      <c r="K322" s="134">
        <f>+M25+M26-K25-K26</f>
        <v>-923486</v>
      </c>
      <c r="L322" s="134"/>
      <c r="M322" s="134">
        <f>-100000-70106</f>
        <v>-170106</v>
      </c>
    </row>
    <row r="323" spans="1:13" s="3" customFormat="1" ht="18.75">
      <c r="A323" s="133" t="s">
        <v>227</v>
      </c>
      <c r="B323" s="133"/>
      <c r="C323" s="133"/>
      <c r="E323" s="80"/>
      <c r="F323" s="80"/>
      <c r="G323" s="134">
        <v>0</v>
      </c>
      <c r="H323" s="134"/>
      <c r="I323" s="134">
        <v>12914</v>
      </c>
      <c r="J323" s="134"/>
      <c r="K323" s="134">
        <v>0</v>
      </c>
      <c r="L323" s="134"/>
      <c r="M323" s="134">
        <v>17289</v>
      </c>
    </row>
    <row r="324" spans="1:13" s="3" customFormat="1" ht="18.75">
      <c r="A324" s="133" t="s">
        <v>237</v>
      </c>
      <c r="B324" s="133"/>
      <c r="C324" s="133"/>
      <c r="E324" s="80"/>
      <c r="F324" s="80"/>
      <c r="G324" s="134">
        <v>34675</v>
      </c>
      <c r="H324" s="134"/>
      <c r="I324" s="134">
        <f>-I277</f>
        <v>13942</v>
      </c>
      <c r="J324" s="134"/>
      <c r="K324" s="134">
        <f>M19+K222</f>
        <v>113548</v>
      </c>
      <c r="L324" s="134"/>
      <c r="M324" s="134">
        <f>543523-M277</f>
        <v>583348</v>
      </c>
    </row>
    <row r="325" spans="1:13" s="3" customFormat="1" ht="18.75">
      <c r="A325" s="133" t="s">
        <v>220</v>
      </c>
      <c r="B325" s="133"/>
      <c r="C325" s="133"/>
      <c r="E325" s="80"/>
      <c r="F325" s="80"/>
      <c r="G325" s="134">
        <v>12038</v>
      </c>
      <c r="H325" s="134"/>
      <c r="I325" s="134">
        <v>21224</v>
      </c>
      <c r="J325" s="134"/>
      <c r="K325" s="134">
        <v>1839</v>
      </c>
      <c r="L325" s="134"/>
      <c r="M325" s="134">
        <v>17538</v>
      </c>
    </row>
    <row r="326" spans="1:13" s="3" customFormat="1" ht="18.75">
      <c r="A326" s="133" t="s">
        <v>221</v>
      </c>
      <c r="B326" s="133"/>
      <c r="C326" s="133"/>
      <c r="E326" s="80"/>
      <c r="F326" s="80"/>
      <c r="G326" s="134">
        <v>-934814</v>
      </c>
      <c r="H326" s="134"/>
      <c r="I326" s="134">
        <v>-1618163</v>
      </c>
      <c r="J326" s="134"/>
      <c r="K326" s="134">
        <v>-276737</v>
      </c>
      <c r="L326" s="134"/>
      <c r="M326" s="134">
        <v>-542005</v>
      </c>
    </row>
    <row r="327" spans="1:13" s="3" customFormat="1" ht="18.75">
      <c r="A327" s="133" t="s">
        <v>214</v>
      </c>
      <c r="B327" s="133"/>
      <c r="C327" s="133"/>
      <c r="E327" s="80"/>
      <c r="F327" s="80"/>
      <c r="G327" s="134">
        <v>0</v>
      </c>
      <c r="H327" s="134"/>
      <c r="I327" s="134">
        <v>0</v>
      </c>
      <c r="J327" s="134"/>
      <c r="K327" s="134">
        <v>-192762</v>
      </c>
      <c r="L327" s="134"/>
      <c r="M327" s="134">
        <v>-115750</v>
      </c>
    </row>
    <row r="328" spans="1:13" s="3" customFormat="1" ht="18.75">
      <c r="A328" s="133" t="s">
        <v>88</v>
      </c>
      <c r="B328" s="133"/>
      <c r="C328" s="133"/>
      <c r="E328" s="80"/>
      <c r="F328" s="80"/>
      <c r="G328" s="134">
        <v>0</v>
      </c>
      <c r="H328" s="134"/>
      <c r="I328" s="134">
        <v>0</v>
      </c>
      <c r="J328" s="134"/>
      <c r="K328" s="134">
        <v>-4455739</v>
      </c>
      <c r="L328" s="134"/>
      <c r="M328" s="134">
        <v>0</v>
      </c>
    </row>
    <row r="329" spans="1:13" s="3" customFormat="1" ht="18.75">
      <c r="A329" s="133" t="s">
        <v>231</v>
      </c>
      <c r="B329" s="133"/>
      <c r="C329" s="133"/>
      <c r="E329" s="80"/>
      <c r="F329" s="80"/>
      <c r="G329" s="134">
        <v>0</v>
      </c>
      <c r="H329" s="134"/>
      <c r="I329" s="134">
        <v>0</v>
      </c>
      <c r="J329" s="134"/>
      <c r="K329" s="134">
        <f>+M29-K29-K328</f>
        <v>248805</v>
      </c>
      <c r="L329" s="134"/>
      <c r="M329" s="134">
        <v>0</v>
      </c>
    </row>
    <row r="330" spans="1:13" s="3" customFormat="1" ht="18.75">
      <c r="A330" s="133" t="s">
        <v>104</v>
      </c>
      <c r="B330" s="133"/>
      <c r="C330" s="133"/>
      <c r="E330" s="80"/>
      <c r="F330" s="80"/>
      <c r="G330" s="134">
        <v>-8716</v>
      </c>
      <c r="H330" s="134"/>
      <c r="I330" s="134">
        <v>-19768</v>
      </c>
      <c r="J330" s="134"/>
      <c r="K330" s="134">
        <v>-4611</v>
      </c>
      <c r="L330" s="134"/>
      <c r="M330" s="134">
        <v>-11415</v>
      </c>
    </row>
    <row r="331" spans="1:13" ht="18.75">
      <c r="A331" s="52" t="s">
        <v>42</v>
      </c>
      <c r="G331" s="108">
        <f>SUM(G321:G330)</f>
        <v>-1614059</v>
      </c>
      <c r="H331" s="106"/>
      <c r="I331" s="108">
        <f>SUM(I321:I330)</f>
        <v>-1635515</v>
      </c>
      <c r="J331" s="106"/>
      <c r="K331" s="108">
        <f>SUM(K321:K330)</f>
        <v>-5489143</v>
      </c>
      <c r="L331" s="106"/>
      <c r="M331" s="108">
        <f>SUM(M321:M330)</f>
        <v>-221101</v>
      </c>
    </row>
    <row r="332" spans="1:13" ht="18.75">
      <c r="A332" s="52" t="s">
        <v>20</v>
      </c>
      <c r="G332" s="106"/>
      <c r="H332" s="106"/>
      <c r="I332" s="106"/>
      <c r="J332" s="106"/>
      <c r="K332" s="106"/>
      <c r="L332" s="106"/>
      <c r="M332" s="106"/>
    </row>
    <row r="333" spans="1:13" s="3" customFormat="1" ht="18.75">
      <c r="A333" s="133" t="s">
        <v>245</v>
      </c>
      <c r="B333" s="133"/>
      <c r="C333" s="133"/>
      <c r="E333" s="80"/>
      <c r="F333" s="80"/>
      <c r="G333" s="134">
        <f>+G63-I63</f>
        <v>-793656</v>
      </c>
      <c r="H333" s="134"/>
      <c r="I333" s="134">
        <v>50049</v>
      </c>
      <c r="J333" s="134"/>
      <c r="K333" s="134">
        <f>+K63-M63</f>
        <v>-680200</v>
      </c>
      <c r="L333" s="134"/>
      <c r="M333" s="134">
        <v>120000</v>
      </c>
    </row>
    <row r="334" spans="1:13" s="3" customFormat="1" ht="18.75">
      <c r="A334" s="137" t="s">
        <v>240</v>
      </c>
      <c r="B334" s="133"/>
      <c r="C334" s="133"/>
      <c r="E334" s="80"/>
      <c r="F334" s="80"/>
      <c r="G334" s="134">
        <f>+G64-I64</f>
        <v>-13627</v>
      </c>
      <c r="H334" s="134"/>
      <c r="I334" s="134">
        <v>-2024</v>
      </c>
      <c r="J334" s="134"/>
      <c r="K334" s="134">
        <f>+K64-M64</f>
        <v>0</v>
      </c>
      <c r="L334" s="134"/>
      <c r="M334" s="134" t="s">
        <v>78</v>
      </c>
    </row>
    <row r="335" spans="1:13" s="3" customFormat="1" ht="18.75">
      <c r="A335" s="133" t="s">
        <v>169</v>
      </c>
      <c r="B335" s="133"/>
      <c r="C335" s="133"/>
      <c r="E335" s="80"/>
      <c r="F335" s="80"/>
      <c r="G335" s="134">
        <v>3457580</v>
      </c>
      <c r="H335" s="134"/>
      <c r="I335" s="134">
        <v>905485</v>
      </c>
      <c r="J335" s="134"/>
      <c r="K335" s="134">
        <v>3438000</v>
      </c>
      <c r="L335" s="134"/>
      <c r="M335" s="134">
        <v>390000</v>
      </c>
    </row>
    <row r="336" spans="1:13" s="3" customFormat="1" ht="18.75">
      <c r="A336" s="133" t="s">
        <v>183</v>
      </c>
      <c r="B336" s="133"/>
      <c r="C336" s="133"/>
      <c r="E336" s="80"/>
      <c r="F336" s="80"/>
      <c r="G336" s="134">
        <v>-6654169</v>
      </c>
      <c r="H336" s="134"/>
      <c r="I336" s="134">
        <v>-340715</v>
      </c>
      <c r="J336" s="134"/>
      <c r="K336" s="134">
        <f>+K69+K79-M69-M79-K335</f>
        <v>-2049694</v>
      </c>
      <c r="L336" s="134"/>
      <c r="M336" s="134">
        <v>-78396</v>
      </c>
    </row>
    <row r="337" spans="1:13" s="3" customFormat="1" ht="18.75">
      <c r="A337" s="133" t="s">
        <v>219</v>
      </c>
      <c r="B337" s="133"/>
      <c r="C337" s="133"/>
      <c r="E337" s="80"/>
      <c r="F337" s="80"/>
      <c r="G337" s="106">
        <v>-79495</v>
      </c>
      <c r="H337" s="134"/>
      <c r="I337" s="134">
        <v>-82032</v>
      </c>
      <c r="J337" s="134"/>
      <c r="K337" s="106">
        <v>-9852</v>
      </c>
      <c r="L337" s="134"/>
      <c r="M337" s="134">
        <v>-22417</v>
      </c>
    </row>
    <row r="338" spans="1:13" s="3" customFormat="1" ht="18.75">
      <c r="A338" s="133" t="s">
        <v>215</v>
      </c>
      <c r="B338" s="133"/>
      <c r="C338" s="133"/>
      <c r="E338" s="80"/>
      <c r="F338" s="80"/>
      <c r="G338" s="134">
        <f>+K338</f>
        <v>4991975</v>
      </c>
      <c r="H338" s="134"/>
      <c r="I338" s="134">
        <v>0</v>
      </c>
      <c r="J338" s="134"/>
      <c r="K338" s="134">
        <v>4991975</v>
      </c>
      <c r="L338" s="134"/>
      <c r="M338" s="134">
        <v>0</v>
      </c>
    </row>
    <row r="339" spans="1:13" s="3" customFormat="1" ht="18.75">
      <c r="A339" s="133" t="s">
        <v>74</v>
      </c>
      <c r="B339" s="133"/>
      <c r="C339" s="133"/>
      <c r="E339" s="80"/>
      <c r="F339" s="80"/>
      <c r="G339" s="134">
        <f>+'CE (2)'!T18</f>
        <v>-607065</v>
      </c>
      <c r="H339" s="134"/>
      <c r="I339" s="134">
        <f>+'CE (2)'!T27</f>
        <v>-590518</v>
      </c>
      <c r="J339" s="134"/>
      <c r="K339" s="134">
        <f>+G339</f>
        <v>-607065</v>
      </c>
      <c r="L339" s="134"/>
      <c r="M339" s="134">
        <f>+I339</f>
        <v>-590518</v>
      </c>
    </row>
    <row r="340" spans="1:13" s="3" customFormat="1" ht="18.75">
      <c r="A340" s="137" t="s">
        <v>140</v>
      </c>
      <c r="B340" s="133"/>
      <c r="C340" s="133"/>
      <c r="E340" s="80"/>
      <c r="F340" s="80"/>
      <c r="G340" s="134">
        <v>-6230</v>
      </c>
      <c r="H340" s="134"/>
      <c r="I340" s="134">
        <v>-22730</v>
      </c>
      <c r="J340" s="134"/>
      <c r="K340" s="134">
        <v>0</v>
      </c>
      <c r="L340" s="134"/>
      <c r="M340" s="134" t="s">
        <v>78</v>
      </c>
    </row>
    <row r="341" spans="1:13" ht="18.75">
      <c r="A341" s="52" t="s">
        <v>184</v>
      </c>
      <c r="G341" s="108">
        <f>SUM(G333:G340)</f>
        <v>295313</v>
      </c>
      <c r="H341" s="106"/>
      <c r="I341" s="108">
        <f>SUM(I333:I340)</f>
        <v>-82485</v>
      </c>
      <c r="J341" s="106"/>
      <c r="K341" s="108">
        <f>SUM(K333:K340)</f>
        <v>5083164</v>
      </c>
      <c r="L341" s="106"/>
      <c r="M341" s="108">
        <f>SUM(M333:M340)</f>
        <v>-181331</v>
      </c>
    </row>
    <row r="342" spans="1:13" ht="18.75">
      <c r="A342" s="7" t="s">
        <v>48</v>
      </c>
      <c r="G342" s="106">
        <f>G341+G331+G305</f>
        <v>1007296</v>
      </c>
      <c r="H342" s="106"/>
      <c r="I342" s="106">
        <f>I341+I331+I305</f>
        <v>-18163</v>
      </c>
      <c r="J342" s="106"/>
      <c r="K342" s="106">
        <f>K341+K331+K305</f>
        <v>320846</v>
      </c>
      <c r="L342" s="106"/>
      <c r="M342" s="106">
        <f>M341+M331+M305</f>
        <v>168580</v>
      </c>
    </row>
    <row r="343" spans="1:13" ht="18.75">
      <c r="A343" s="7" t="s">
        <v>185</v>
      </c>
      <c r="G343" s="73">
        <f>+I11</f>
        <v>963602</v>
      </c>
      <c r="H343" s="106"/>
      <c r="I343" s="73">
        <v>1101049</v>
      </c>
      <c r="J343" s="106"/>
      <c r="K343" s="73">
        <f>+M11</f>
        <v>169248</v>
      </c>
      <c r="L343" s="106"/>
      <c r="M343" s="106">
        <v>60450</v>
      </c>
    </row>
    <row r="344" spans="1:13" ht="19.5" thickBot="1">
      <c r="A344" s="52" t="s">
        <v>186</v>
      </c>
      <c r="G344" s="107">
        <f>SUM(G342:G343)</f>
        <v>1970898</v>
      </c>
      <c r="H344" s="106"/>
      <c r="I344" s="107">
        <f>SUM(I342:I343)</f>
        <v>1082886</v>
      </c>
      <c r="J344" s="106"/>
      <c r="K344" s="107">
        <f>SUM(K342:K343)</f>
        <v>490094</v>
      </c>
      <c r="L344" s="106"/>
      <c r="M344" s="107">
        <f>SUM(M342:M343)</f>
        <v>229030</v>
      </c>
    </row>
    <row r="345" spans="7:13" ht="19.5" thickTop="1">
      <c r="G345" s="138">
        <f>+G344-G11</f>
        <v>0</v>
      </c>
      <c r="I345" s="138"/>
      <c r="K345" s="138">
        <f>+K344-K11</f>
        <v>0</v>
      </c>
      <c r="M345" s="138"/>
    </row>
    <row r="346" spans="1:13" ht="18.75">
      <c r="A346" s="3" t="s">
        <v>232</v>
      </c>
      <c r="B346" s="3"/>
      <c r="G346" s="138"/>
      <c r="I346" s="138"/>
      <c r="K346" s="138"/>
      <c r="M346" s="138"/>
    </row>
    <row r="347" spans="1:13" s="143" customFormat="1" ht="18.75">
      <c r="A347" s="146"/>
      <c r="B347" s="147" t="s">
        <v>233</v>
      </c>
      <c r="C347" s="139"/>
      <c r="D347" s="139"/>
      <c r="E347" s="140"/>
      <c r="F347" s="140"/>
      <c r="G347" s="141"/>
      <c r="H347" s="142"/>
      <c r="I347" s="141"/>
      <c r="J347" s="142"/>
      <c r="K347" s="142"/>
      <c r="L347" s="142"/>
      <c r="M347" s="142"/>
    </row>
    <row r="348" spans="2:13" s="143" customFormat="1" ht="18.75">
      <c r="B348" s="139" t="s">
        <v>234</v>
      </c>
      <c r="D348" s="139"/>
      <c r="E348" s="140"/>
      <c r="F348" s="140"/>
      <c r="G348" s="144">
        <v>21085</v>
      </c>
      <c r="H348" s="144"/>
      <c r="I348" s="144">
        <v>87197</v>
      </c>
      <c r="J348" s="144"/>
      <c r="K348" s="145">
        <v>4762</v>
      </c>
      <c r="L348" s="144"/>
      <c r="M348" s="145">
        <v>0</v>
      </c>
    </row>
    <row r="349" spans="2:13" s="143" customFormat="1" ht="18.75">
      <c r="B349" s="139" t="s">
        <v>235</v>
      </c>
      <c r="D349" s="139"/>
      <c r="E349" s="140"/>
      <c r="F349" s="140"/>
      <c r="G349" s="144">
        <v>-146426</v>
      </c>
      <c r="H349" s="144"/>
      <c r="I349" s="144">
        <v>-63090</v>
      </c>
      <c r="J349" s="144"/>
      <c r="K349" s="144">
        <v>0</v>
      </c>
      <c r="L349" s="144"/>
      <c r="M349" s="144">
        <v>0</v>
      </c>
    </row>
    <row r="350" spans="2:13" s="143" customFormat="1" ht="18.75">
      <c r="B350" s="139" t="s">
        <v>239</v>
      </c>
      <c r="D350" s="139"/>
      <c r="E350" s="140"/>
      <c r="F350" s="140"/>
      <c r="G350" s="144">
        <f>+G72-I72</f>
        <v>25413</v>
      </c>
      <c r="H350" s="144"/>
      <c r="I350" s="144">
        <v>-100631</v>
      </c>
      <c r="J350" s="144"/>
      <c r="K350" s="144">
        <f>+K72-M72</f>
        <v>-14663</v>
      </c>
      <c r="L350" s="144"/>
      <c r="M350" s="144">
        <v>-5666</v>
      </c>
    </row>
    <row r="351" s="80" customFormat="1" ht="18.75"/>
    <row r="352" s="80" customFormat="1" ht="18.75">
      <c r="A352" s="80" t="s">
        <v>51</v>
      </c>
    </row>
    <row r="353" s="80" customFormat="1" ht="18.75"/>
    <row r="354" s="80" customFormat="1" ht="18.75"/>
    <row r="355" s="80" customFormat="1" ht="18.75"/>
    <row r="356" s="80" customFormat="1" ht="18.75"/>
    <row r="357" s="80" customFormat="1" ht="18.75"/>
    <row r="358" s="80" customFormat="1" ht="18.75"/>
    <row r="359" s="80" customFormat="1" ht="18.75"/>
    <row r="360" s="80" customFormat="1" ht="18.75"/>
    <row r="361" s="80" customFormat="1" ht="18.75"/>
    <row r="364" spans="1:13" ht="18.75">
      <c r="A364" s="150" t="s">
        <v>236</v>
      </c>
      <c r="B364" s="150"/>
      <c r="C364" s="150"/>
      <c r="D364" s="150"/>
      <c r="E364" s="150"/>
      <c r="F364" s="150"/>
      <c r="G364" s="150"/>
      <c r="H364" s="150"/>
      <c r="I364" s="150"/>
      <c r="J364" s="150"/>
      <c r="K364" s="150"/>
      <c r="L364" s="150"/>
      <c r="M364" s="150"/>
    </row>
  </sheetData>
  <mergeCells count="25">
    <mergeCell ref="A364:M364"/>
    <mergeCell ref="A1:M1"/>
    <mergeCell ref="A2:M2"/>
    <mergeCell ref="A53:M53"/>
    <mergeCell ref="A54:M54"/>
    <mergeCell ref="A52:M52"/>
    <mergeCell ref="A104:M104"/>
    <mergeCell ref="A105:M105"/>
    <mergeCell ref="A106:M106"/>
    <mergeCell ref="A260:M260"/>
    <mergeCell ref="A156:M156"/>
    <mergeCell ref="A158:M158"/>
    <mergeCell ref="A159:M159"/>
    <mergeCell ref="A160:M160"/>
    <mergeCell ref="A208:M208"/>
    <mergeCell ref="A210:M210"/>
    <mergeCell ref="A264:M264"/>
    <mergeCell ref="A312:M312"/>
    <mergeCell ref="A314:M314"/>
    <mergeCell ref="A315:M315"/>
    <mergeCell ref="A316:M316"/>
    <mergeCell ref="A211:M211"/>
    <mergeCell ref="A212:M212"/>
    <mergeCell ref="A262:M262"/>
    <mergeCell ref="A263:M263"/>
  </mergeCells>
  <printOptions/>
  <pageMargins left="0.984251968503937" right="0.3937007874015748" top="0.7874015748031497" bottom="0.2755905511811024" header="0.52" footer="0.1968503937007874"/>
  <pageSetup firstPageNumber="3" useFirstPageNumber="1" horizontalDpi="600" verticalDpi="600" orientation="portrait" paperSize="9" scale="80" r:id="rId1"/>
  <rowBreaks count="6" manualBreakCount="6">
    <brk id="52" max="255" man="1"/>
    <brk id="104" max="255" man="1"/>
    <brk id="156" max="255" man="1"/>
    <brk id="208" max="255" man="1"/>
    <brk id="260" max="255" man="1"/>
    <brk id="3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73"/>
  <sheetViews>
    <sheetView showGridLines="0" zoomScaleSheetLayoutView="100" workbookViewId="0" topLeftCell="A37">
      <pane xSplit="1" topLeftCell="I1" activePane="topRight" state="frozen"/>
      <selection pane="topLeft" activeCell="A1" sqref="A1"/>
      <selection pane="topRight" activeCell="A62" sqref="A62"/>
    </sheetView>
  </sheetViews>
  <sheetFormatPr defaultColWidth="9.140625" defaultRowHeight="21.75"/>
  <cols>
    <col min="1" max="1" width="45.421875" style="81" customWidth="1"/>
    <col min="2" max="2" width="6.421875" style="81" customWidth="1"/>
    <col min="3" max="3" width="1.28515625" style="81" customWidth="1"/>
    <col min="4" max="4" width="11.421875" style="81" customWidth="1"/>
    <col min="5" max="5" width="1.28515625" style="81" customWidth="1"/>
    <col min="6" max="6" width="11.57421875" style="81" customWidth="1"/>
    <col min="7" max="7" width="1.28515625" style="81" customWidth="1"/>
    <col min="8" max="8" width="11.421875" style="81" customWidth="1"/>
    <col min="9" max="9" width="1.28515625" style="81" customWidth="1"/>
    <col min="10" max="10" width="11.421875" style="81" customWidth="1"/>
    <col min="11" max="11" width="1.28515625" style="81" customWidth="1"/>
    <col min="12" max="12" width="11.421875" style="81" customWidth="1"/>
    <col min="13" max="13" width="1.28515625" style="81" customWidth="1"/>
    <col min="14" max="14" width="11.421875" style="81" customWidth="1"/>
    <col min="15" max="15" width="1.28515625" style="81" customWidth="1"/>
    <col min="16" max="16" width="13.00390625" style="81" customWidth="1"/>
    <col min="17" max="17" width="1.28515625" style="81" customWidth="1"/>
    <col min="18" max="18" width="12.140625" style="81" customWidth="1"/>
    <col min="19" max="19" width="1.28515625" style="81" customWidth="1"/>
    <col min="20" max="20" width="11.421875" style="81" customWidth="1"/>
    <col min="21" max="21" width="1.28515625" style="81" customWidth="1"/>
    <col min="22" max="22" width="11.421875" style="81" customWidth="1"/>
    <col min="23" max="23" width="1.28515625" style="81" customWidth="1"/>
    <col min="24" max="24" width="11.421875" style="81" customWidth="1"/>
    <col min="25" max="26" width="1.28515625" style="81" customWidth="1"/>
    <col min="27" max="16384" width="8.00390625" style="81" customWidth="1"/>
  </cols>
  <sheetData>
    <row r="1" ht="18" customHeight="1">
      <c r="X1" s="82" t="s">
        <v>175</v>
      </c>
    </row>
    <row r="2" spans="1:24" ht="18" customHeight="1">
      <c r="A2" s="98" t="s">
        <v>53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</row>
    <row r="3" spans="1:24" ht="18" customHeight="1">
      <c r="A3" s="98" t="s">
        <v>38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</row>
    <row r="4" spans="1:24" ht="18" customHeight="1">
      <c r="A4" s="98" t="s">
        <v>223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</row>
    <row r="5" spans="1:24" s="84" customFormat="1" ht="18" customHeight="1">
      <c r="A5" s="83"/>
      <c r="B5" s="83"/>
      <c r="C5" s="83"/>
      <c r="I5" s="85"/>
      <c r="X5" s="86" t="s">
        <v>196</v>
      </c>
    </row>
    <row r="6" spans="4:24" ht="18" customHeight="1">
      <c r="D6" s="87" t="s">
        <v>43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</row>
    <row r="7" spans="4:24" ht="18" customHeight="1">
      <c r="D7" s="88"/>
      <c r="E7" s="88"/>
      <c r="F7" s="89"/>
      <c r="G7" s="89"/>
      <c r="H7" s="90"/>
      <c r="I7" s="90" t="s">
        <v>49</v>
      </c>
      <c r="J7" s="90"/>
      <c r="K7" s="89"/>
      <c r="L7" s="89"/>
      <c r="M7" s="91"/>
      <c r="N7" s="91"/>
      <c r="O7" s="84"/>
      <c r="P7" s="91"/>
      <c r="Q7" s="91"/>
      <c r="R7" s="153" t="s">
        <v>65</v>
      </c>
      <c r="S7" s="153"/>
      <c r="T7" s="153"/>
      <c r="U7" s="88"/>
      <c r="V7" s="88"/>
      <c r="W7" s="88"/>
      <c r="X7" s="88"/>
    </row>
    <row r="8" spans="4:24" ht="18" customHeight="1">
      <c r="D8" s="88"/>
      <c r="E8" s="88"/>
      <c r="F8" s="88"/>
      <c r="G8" s="88"/>
      <c r="H8" s="92" t="s">
        <v>49</v>
      </c>
      <c r="I8" s="85"/>
      <c r="J8" s="85"/>
      <c r="K8" s="88"/>
      <c r="L8" s="88"/>
      <c r="N8" s="92"/>
      <c r="P8" s="92" t="s">
        <v>124</v>
      </c>
      <c r="R8" s="88"/>
      <c r="S8" s="85"/>
      <c r="T8" s="88"/>
      <c r="U8" s="88"/>
      <c r="V8" s="88"/>
      <c r="W8" s="88"/>
      <c r="X8" s="88"/>
    </row>
    <row r="9" spans="1:24" ht="18" customHeight="1">
      <c r="A9" s="92"/>
      <c r="B9" s="92"/>
      <c r="C9" s="92"/>
      <c r="D9" s="92" t="s">
        <v>12</v>
      </c>
      <c r="E9" s="92"/>
      <c r="G9" s="92"/>
      <c r="H9" s="92" t="s">
        <v>202</v>
      </c>
      <c r="I9" s="92"/>
      <c r="J9" s="92" t="s">
        <v>49</v>
      </c>
      <c r="L9" s="92" t="s">
        <v>125</v>
      </c>
      <c r="N9" s="92" t="s">
        <v>188</v>
      </c>
      <c r="P9" s="92" t="s">
        <v>189</v>
      </c>
      <c r="R9" s="92" t="s">
        <v>127</v>
      </c>
      <c r="V9" s="92" t="s">
        <v>44</v>
      </c>
      <c r="W9" s="92"/>
      <c r="X9" s="92"/>
    </row>
    <row r="10" spans="4:22" ht="18" customHeight="1">
      <c r="D10" s="92" t="s">
        <v>34</v>
      </c>
      <c r="F10" s="92" t="s">
        <v>128</v>
      </c>
      <c r="H10" s="92" t="s">
        <v>190</v>
      </c>
      <c r="I10" s="92"/>
      <c r="J10" s="92" t="s">
        <v>129</v>
      </c>
      <c r="K10" s="92"/>
      <c r="L10" s="92" t="s">
        <v>130</v>
      </c>
      <c r="N10" s="92" t="s">
        <v>191</v>
      </c>
      <c r="P10" s="92" t="s">
        <v>131</v>
      </c>
      <c r="R10" s="92" t="s">
        <v>80</v>
      </c>
      <c r="S10" s="92"/>
      <c r="T10" s="92"/>
      <c r="U10" s="92"/>
      <c r="V10" s="92" t="s">
        <v>45</v>
      </c>
    </row>
    <row r="11" spans="1:24" ht="18" customHeight="1">
      <c r="A11" s="93"/>
      <c r="B11" s="2" t="s">
        <v>33</v>
      </c>
      <c r="C11" s="92"/>
      <c r="D11" s="94" t="s">
        <v>35</v>
      </c>
      <c r="E11" s="92"/>
      <c r="F11" s="94" t="s">
        <v>132</v>
      </c>
      <c r="G11" s="92"/>
      <c r="H11" s="94" t="s">
        <v>105</v>
      </c>
      <c r="I11" s="92"/>
      <c r="J11" s="94" t="s">
        <v>166</v>
      </c>
      <c r="K11" s="85"/>
      <c r="L11" s="94" t="s">
        <v>133</v>
      </c>
      <c r="N11" s="94" t="s">
        <v>192</v>
      </c>
      <c r="P11" s="94" t="s">
        <v>134</v>
      </c>
      <c r="R11" s="94" t="s">
        <v>79</v>
      </c>
      <c r="S11" s="85"/>
      <c r="T11" s="94" t="s">
        <v>26</v>
      </c>
      <c r="V11" s="94" t="s">
        <v>46</v>
      </c>
      <c r="W11" s="92"/>
      <c r="X11" s="94" t="s">
        <v>28</v>
      </c>
    </row>
    <row r="12" spans="1:24" s="7" customFormat="1" ht="18" customHeight="1">
      <c r="A12" s="52" t="s">
        <v>199</v>
      </c>
      <c r="B12" s="52"/>
      <c r="C12" s="52"/>
      <c r="D12" s="70">
        <f>+'BS&amp;PL'!I119</f>
        <v>1214131</v>
      </c>
      <c r="E12" s="70"/>
      <c r="F12" s="70">
        <f>+'BS&amp;PL'!I121</f>
        <v>5816434</v>
      </c>
      <c r="G12" s="70"/>
      <c r="H12" s="70">
        <f>+'BS&amp;PL'!I122</f>
        <v>-6491</v>
      </c>
      <c r="I12" s="70"/>
      <c r="J12" s="70">
        <f>+'BS&amp;PL'!I123</f>
        <v>1156655</v>
      </c>
      <c r="K12" s="70"/>
      <c r="L12" s="70">
        <f>+'BS&amp;PL'!I124</f>
        <v>305000</v>
      </c>
      <c r="M12" s="70"/>
      <c r="N12" s="70">
        <f>+'BS&amp;PL'!I125</f>
        <v>-34702</v>
      </c>
      <c r="O12" s="70"/>
      <c r="P12" s="70">
        <f>+'BS&amp;PL'!I126</f>
        <v>37353</v>
      </c>
      <c r="Q12" s="70"/>
      <c r="R12" s="70">
        <f>+'BS&amp;PL'!I128</f>
        <v>131226</v>
      </c>
      <c r="S12" s="70"/>
      <c r="T12" s="70">
        <f>+'BS&amp;PL'!I129</f>
        <v>2494224</v>
      </c>
      <c r="U12" s="70"/>
      <c r="V12" s="70">
        <f>+'BS&amp;PL'!I131</f>
        <v>596162</v>
      </c>
      <c r="W12" s="70"/>
      <c r="X12" s="70">
        <f aca="true" t="shared" si="0" ref="X12:X19">SUM(D12:V12)</f>
        <v>11709992</v>
      </c>
    </row>
    <row r="13" spans="1:24" s="7" customFormat="1" ht="18" customHeight="1">
      <c r="A13" s="7" t="s">
        <v>155</v>
      </c>
      <c r="B13" s="16">
        <v>15</v>
      </c>
      <c r="C13" s="52"/>
      <c r="D13" s="70">
        <f>+J49</f>
        <v>368</v>
      </c>
      <c r="E13" s="70"/>
      <c r="F13" s="70">
        <f>+L49</f>
        <v>13245</v>
      </c>
      <c r="G13" s="70"/>
      <c r="H13" s="70" t="s">
        <v>78</v>
      </c>
      <c r="I13" s="70"/>
      <c r="J13" s="70" t="s">
        <v>78</v>
      </c>
      <c r="K13" s="70"/>
      <c r="L13" s="70" t="s">
        <v>78</v>
      </c>
      <c r="M13" s="70"/>
      <c r="N13" s="70" t="s">
        <v>78</v>
      </c>
      <c r="O13" s="70"/>
      <c r="P13" s="70">
        <v>-141</v>
      </c>
      <c r="Q13" s="70"/>
      <c r="R13" s="70" t="s">
        <v>78</v>
      </c>
      <c r="S13" s="70"/>
      <c r="T13" s="70" t="s">
        <v>78</v>
      </c>
      <c r="U13" s="70"/>
      <c r="V13" s="70" t="s">
        <v>78</v>
      </c>
      <c r="W13" s="70"/>
      <c r="X13" s="70">
        <f t="shared" si="0"/>
        <v>13472</v>
      </c>
    </row>
    <row r="14" spans="1:24" s="7" customFormat="1" ht="18.75">
      <c r="A14" s="7" t="s">
        <v>107</v>
      </c>
      <c r="B14" s="16"/>
      <c r="D14" s="70" t="s">
        <v>78</v>
      </c>
      <c r="E14" s="70"/>
      <c r="F14" s="70" t="s">
        <v>78</v>
      </c>
      <c r="G14" s="70"/>
      <c r="H14" s="70">
        <v>-283</v>
      </c>
      <c r="I14" s="70"/>
      <c r="J14" s="70" t="s">
        <v>78</v>
      </c>
      <c r="K14" s="70"/>
      <c r="L14" s="70" t="s">
        <v>78</v>
      </c>
      <c r="M14" s="106"/>
      <c r="N14" s="70" t="s">
        <v>78</v>
      </c>
      <c r="O14" s="70"/>
      <c r="P14" s="70" t="s">
        <v>78</v>
      </c>
      <c r="Q14" s="106"/>
      <c r="R14" s="70" t="s">
        <v>78</v>
      </c>
      <c r="S14" s="70"/>
      <c r="T14" s="70" t="s">
        <v>78</v>
      </c>
      <c r="U14" s="70"/>
      <c r="V14" s="70" t="s">
        <v>78</v>
      </c>
      <c r="W14" s="70"/>
      <c r="X14" s="70">
        <f t="shared" si="0"/>
        <v>-283</v>
      </c>
    </row>
    <row r="15" spans="1:24" s="7" customFormat="1" ht="18.75">
      <c r="A15" s="7" t="s">
        <v>165</v>
      </c>
      <c r="B15" s="16">
        <v>8</v>
      </c>
      <c r="D15" s="70" t="s">
        <v>78</v>
      </c>
      <c r="E15" s="70"/>
      <c r="F15" s="70" t="s">
        <v>78</v>
      </c>
      <c r="G15" s="70"/>
      <c r="H15" s="70" t="s">
        <v>78</v>
      </c>
      <c r="I15" s="70"/>
      <c r="J15" s="70">
        <f>19002+19</f>
        <v>19021</v>
      </c>
      <c r="K15" s="70"/>
      <c r="L15" s="70" t="s">
        <v>78</v>
      </c>
      <c r="M15" s="106"/>
      <c r="N15" s="70" t="s">
        <v>78</v>
      </c>
      <c r="O15" s="70"/>
      <c r="P15" s="70" t="s">
        <v>78</v>
      </c>
      <c r="Q15" s="106"/>
      <c r="R15" s="70" t="s">
        <v>78</v>
      </c>
      <c r="S15" s="70"/>
      <c r="T15" s="70" t="s">
        <v>78</v>
      </c>
      <c r="U15" s="70"/>
      <c r="V15" s="70" t="s">
        <v>78</v>
      </c>
      <c r="W15" s="70"/>
      <c r="X15" s="70">
        <f t="shared" si="0"/>
        <v>19021</v>
      </c>
    </row>
    <row r="16" spans="1:24" s="7" customFormat="1" ht="18.75">
      <c r="A16" s="7" t="s">
        <v>147</v>
      </c>
      <c r="B16" s="16"/>
      <c r="D16" s="70" t="s">
        <v>78</v>
      </c>
      <c r="E16" s="70"/>
      <c r="F16" s="70" t="s">
        <v>78</v>
      </c>
      <c r="G16" s="70"/>
      <c r="H16" s="70" t="s">
        <v>78</v>
      </c>
      <c r="I16" s="70"/>
      <c r="J16" s="70" t="s">
        <v>78</v>
      </c>
      <c r="K16" s="70"/>
      <c r="L16" s="70" t="s">
        <v>78</v>
      </c>
      <c r="M16" s="106"/>
      <c r="N16" s="70">
        <v>-10558</v>
      </c>
      <c r="O16" s="70"/>
      <c r="P16" s="70" t="s">
        <v>78</v>
      </c>
      <c r="Q16" s="106"/>
      <c r="R16" s="70" t="s">
        <v>78</v>
      </c>
      <c r="S16" s="70"/>
      <c r="T16" s="70" t="s">
        <v>78</v>
      </c>
      <c r="U16" s="70"/>
      <c r="V16" s="70" t="s">
        <v>78</v>
      </c>
      <c r="W16" s="70"/>
      <c r="X16" s="70">
        <f t="shared" si="0"/>
        <v>-10558</v>
      </c>
    </row>
    <row r="17" spans="1:24" s="7" customFormat="1" ht="18.75">
      <c r="A17" s="7" t="s">
        <v>177</v>
      </c>
      <c r="B17" s="16"/>
      <c r="D17" s="70" t="s">
        <v>78</v>
      </c>
      <c r="E17" s="70"/>
      <c r="F17" s="70" t="s">
        <v>78</v>
      </c>
      <c r="G17" s="70"/>
      <c r="H17" s="70" t="s">
        <v>78</v>
      </c>
      <c r="I17" s="70"/>
      <c r="J17" s="70" t="s">
        <v>78</v>
      </c>
      <c r="K17" s="70"/>
      <c r="L17" s="70" t="s">
        <v>78</v>
      </c>
      <c r="M17" s="106"/>
      <c r="N17" s="70" t="s">
        <v>78</v>
      </c>
      <c r="O17" s="70"/>
      <c r="P17" s="70" t="s">
        <v>78</v>
      </c>
      <c r="Q17" s="106"/>
      <c r="R17" s="70" t="s">
        <v>78</v>
      </c>
      <c r="S17" s="70"/>
      <c r="T17" s="70">
        <f>+'BS&amp;PL'!G238</f>
        <v>1036402</v>
      </c>
      <c r="U17" s="70"/>
      <c r="V17" s="70">
        <f>+'BS&amp;PL'!G239</f>
        <v>30043</v>
      </c>
      <c r="W17" s="70"/>
      <c r="X17" s="70">
        <f t="shared" si="0"/>
        <v>1066445</v>
      </c>
    </row>
    <row r="18" spans="1:24" s="7" customFormat="1" ht="18.75">
      <c r="A18" s="7" t="s">
        <v>198</v>
      </c>
      <c r="B18" s="16">
        <v>11</v>
      </c>
      <c r="D18" s="70" t="s">
        <v>78</v>
      </c>
      <c r="E18" s="70"/>
      <c r="F18" s="70" t="s">
        <v>78</v>
      </c>
      <c r="G18" s="70"/>
      <c r="H18" s="70" t="s">
        <v>78</v>
      </c>
      <c r="I18" s="70"/>
      <c r="J18" s="70" t="s">
        <v>78</v>
      </c>
      <c r="K18" s="70"/>
      <c r="L18" s="70" t="s">
        <v>78</v>
      </c>
      <c r="M18" s="106"/>
      <c r="N18" s="70" t="s">
        <v>78</v>
      </c>
      <c r="O18" s="70"/>
      <c r="P18" s="70" t="s">
        <v>78</v>
      </c>
      <c r="Q18" s="106"/>
      <c r="R18" s="70" t="s">
        <v>78</v>
      </c>
      <c r="S18" s="70"/>
      <c r="T18" s="70">
        <v>-607065</v>
      </c>
      <c r="U18" s="70"/>
      <c r="V18" s="70" t="s">
        <v>78</v>
      </c>
      <c r="W18" s="70"/>
      <c r="X18" s="70">
        <f t="shared" si="0"/>
        <v>-607065</v>
      </c>
    </row>
    <row r="19" spans="1:24" s="7" customFormat="1" ht="18.75">
      <c r="A19" s="7" t="s">
        <v>47</v>
      </c>
      <c r="D19" s="70" t="s">
        <v>78</v>
      </c>
      <c r="E19" s="70"/>
      <c r="F19" s="70" t="s">
        <v>78</v>
      </c>
      <c r="G19" s="70"/>
      <c r="H19" s="70" t="s">
        <v>78</v>
      </c>
      <c r="I19" s="109"/>
      <c r="J19" s="70" t="s">
        <v>78</v>
      </c>
      <c r="K19" s="109"/>
      <c r="L19" s="70" t="s">
        <v>78</v>
      </c>
      <c r="M19" s="106"/>
      <c r="N19" s="70" t="s">
        <v>78</v>
      </c>
      <c r="O19" s="109"/>
      <c r="P19" s="70" t="s">
        <v>78</v>
      </c>
      <c r="Q19" s="106"/>
      <c r="R19" s="70" t="s">
        <v>78</v>
      </c>
      <c r="S19" s="109"/>
      <c r="T19" s="70" t="s">
        <v>78</v>
      </c>
      <c r="U19" s="70"/>
      <c r="V19" s="109">
        <f>-7291+21</f>
        <v>-7270</v>
      </c>
      <c r="W19" s="109"/>
      <c r="X19" s="70">
        <f t="shared" si="0"/>
        <v>-7270</v>
      </c>
    </row>
    <row r="20" spans="1:24" s="7" customFormat="1" ht="19.5" thickBot="1">
      <c r="A20" s="52" t="s">
        <v>225</v>
      </c>
      <c r="B20" s="52"/>
      <c r="C20" s="52"/>
      <c r="D20" s="107">
        <f>SUM(D12:D19)</f>
        <v>1214499</v>
      </c>
      <c r="E20" s="70"/>
      <c r="F20" s="107">
        <f>SUM(F12:F19)</f>
        <v>5829679</v>
      </c>
      <c r="G20" s="70"/>
      <c r="H20" s="107">
        <f>SUM(H12:H19)</f>
        <v>-6774</v>
      </c>
      <c r="I20" s="70"/>
      <c r="J20" s="107">
        <f>SUM(J12:J19)</f>
        <v>1175676</v>
      </c>
      <c r="K20" s="70"/>
      <c r="L20" s="107">
        <f>SUM(L12:L19)</f>
        <v>305000</v>
      </c>
      <c r="M20" s="106"/>
      <c r="N20" s="107">
        <f>SUM(N12:N19)</f>
        <v>-45260</v>
      </c>
      <c r="O20" s="70"/>
      <c r="P20" s="107">
        <f>SUM(P12:P19)</f>
        <v>37212</v>
      </c>
      <c r="Q20" s="106"/>
      <c r="R20" s="107">
        <f>SUM(R12:R19)</f>
        <v>131226</v>
      </c>
      <c r="S20" s="70"/>
      <c r="T20" s="107">
        <f>SUM(T12:T19)</f>
        <v>2923561</v>
      </c>
      <c r="U20" s="70"/>
      <c r="V20" s="107">
        <f>SUM(V12:V19)</f>
        <v>618935</v>
      </c>
      <c r="W20" s="70"/>
      <c r="X20" s="107">
        <f>SUM(X12:X19)</f>
        <v>12183754</v>
      </c>
    </row>
    <row r="21" spans="1:24" s="7" customFormat="1" ht="19.5" thickTop="1">
      <c r="A21" s="52"/>
      <c r="B21" s="52"/>
      <c r="C21" s="52"/>
      <c r="D21" s="70"/>
      <c r="E21" s="70"/>
      <c r="F21" s="70"/>
      <c r="G21" s="70"/>
      <c r="H21" s="70"/>
      <c r="I21" s="70"/>
      <c r="J21" s="70"/>
      <c r="K21" s="70"/>
      <c r="L21" s="70"/>
      <c r="M21" s="106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</row>
    <row r="22" spans="1:24" s="7" customFormat="1" ht="18" customHeight="1">
      <c r="A22" s="52" t="s">
        <v>200</v>
      </c>
      <c r="B22" s="52"/>
      <c r="C22" s="52"/>
      <c r="D22" s="70">
        <v>1181038</v>
      </c>
      <c r="E22" s="70"/>
      <c r="F22" s="70">
        <v>4625091</v>
      </c>
      <c r="G22" s="70"/>
      <c r="H22" s="70">
        <v>679137</v>
      </c>
      <c r="I22" s="70"/>
      <c r="J22" s="70">
        <v>739493</v>
      </c>
      <c r="K22" s="70"/>
      <c r="L22" s="70">
        <v>305000</v>
      </c>
      <c r="M22" s="70"/>
      <c r="N22" s="70">
        <v>-19963</v>
      </c>
      <c r="O22" s="70"/>
      <c r="P22" s="70">
        <v>50063</v>
      </c>
      <c r="Q22" s="70"/>
      <c r="R22" s="70">
        <v>131226</v>
      </c>
      <c r="S22" s="70"/>
      <c r="T22" s="70">
        <v>1786066</v>
      </c>
      <c r="U22" s="70"/>
      <c r="V22" s="70">
        <v>506980</v>
      </c>
      <c r="W22" s="70"/>
      <c r="X22" s="70">
        <f aca="true" t="shared" si="1" ref="X22:X28">SUM(D22:V22)</f>
        <v>9984131</v>
      </c>
    </row>
    <row r="23" spans="1:24" s="7" customFormat="1" ht="18" customHeight="1">
      <c r="A23" s="7" t="s">
        <v>155</v>
      </c>
      <c r="B23" s="16">
        <v>15</v>
      </c>
      <c r="C23" s="52"/>
      <c r="D23" s="70">
        <v>2680</v>
      </c>
      <c r="E23" s="70"/>
      <c r="F23" s="70">
        <v>96504</v>
      </c>
      <c r="G23" s="70"/>
      <c r="H23" s="70" t="s">
        <v>78</v>
      </c>
      <c r="I23" s="70"/>
      <c r="J23" s="70" t="s">
        <v>78</v>
      </c>
      <c r="K23" s="70"/>
      <c r="L23" s="70" t="s">
        <v>78</v>
      </c>
      <c r="M23" s="70"/>
      <c r="N23" s="70" t="s">
        <v>78</v>
      </c>
      <c r="O23" s="70"/>
      <c r="P23" s="70">
        <v>-1030</v>
      </c>
      <c r="Q23" s="70"/>
      <c r="R23" s="70" t="s">
        <v>78</v>
      </c>
      <c r="S23" s="70"/>
      <c r="T23" s="70" t="s">
        <v>78</v>
      </c>
      <c r="U23" s="70"/>
      <c r="V23" s="70" t="s">
        <v>78</v>
      </c>
      <c r="W23" s="70"/>
      <c r="X23" s="70">
        <f t="shared" si="1"/>
        <v>98154</v>
      </c>
    </row>
    <row r="24" spans="1:24" s="7" customFormat="1" ht="18.75">
      <c r="A24" s="7" t="s">
        <v>107</v>
      </c>
      <c r="B24" s="16"/>
      <c r="D24" s="70" t="s">
        <v>78</v>
      </c>
      <c r="E24" s="70"/>
      <c r="F24" s="70" t="s">
        <v>78</v>
      </c>
      <c r="G24" s="70"/>
      <c r="H24" s="70">
        <v>236672</v>
      </c>
      <c r="I24" s="70"/>
      <c r="J24" s="70" t="s">
        <v>78</v>
      </c>
      <c r="K24" s="70"/>
      <c r="L24" s="70" t="s">
        <v>78</v>
      </c>
      <c r="M24" s="106"/>
      <c r="N24" s="70" t="s">
        <v>78</v>
      </c>
      <c r="O24" s="70"/>
      <c r="P24" s="70" t="s">
        <v>78</v>
      </c>
      <c r="Q24" s="106"/>
      <c r="R24" s="70" t="s">
        <v>78</v>
      </c>
      <c r="S24" s="70"/>
      <c r="T24" s="70" t="s">
        <v>78</v>
      </c>
      <c r="U24" s="70"/>
      <c r="V24" s="70" t="s">
        <v>78</v>
      </c>
      <c r="W24" s="70"/>
      <c r="X24" s="70">
        <f t="shared" si="1"/>
        <v>236672</v>
      </c>
    </row>
    <row r="25" spans="1:24" s="7" customFormat="1" ht="18.75">
      <c r="A25" s="7" t="s">
        <v>147</v>
      </c>
      <c r="B25" s="16"/>
      <c r="D25" s="70" t="s">
        <v>78</v>
      </c>
      <c r="E25" s="70"/>
      <c r="F25" s="70" t="s">
        <v>78</v>
      </c>
      <c r="G25" s="70"/>
      <c r="H25" s="70" t="s">
        <v>78</v>
      </c>
      <c r="I25" s="70"/>
      <c r="J25" s="70" t="s">
        <v>78</v>
      </c>
      <c r="K25" s="70"/>
      <c r="L25" s="70" t="s">
        <v>78</v>
      </c>
      <c r="M25" s="106"/>
      <c r="N25" s="70">
        <v>-2149</v>
      </c>
      <c r="O25" s="70"/>
      <c r="P25" s="70" t="s">
        <v>78</v>
      </c>
      <c r="Q25" s="106"/>
      <c r="R25" s="70" t="s">
        <v>78</v>
      </c>
      <c r="S25" s="70"/>
      <c r="T25" s="70" t="s">
        <v>78</v>
      </c>
      <c r="U25" s="70"/>
      <c r="V25" s="70" t="s">
        <v>78</v>
      </c>
      <c r="W25" s="70"/>
      <c r="X25" s="70">
        <f t="shared" si="1"/>
        <v>-2149</v>
      </c>
    </row>
    <row r="26" spans="1:24" s="7" customFormat="1" ht="18.75">
      <c r="A26" s="7" t="s">
        <v>177</v>
      </c>
      <c r="B26" s="16"/>
      <c r="D26" s="70" t="s">
        <v>78</v>
      </c>
      <c r="E26" s="70"/>
      <c r="F26" s="70" t="s">
        <v>78</v>
      </c>
      <c r="G26" s="70"/>
      <c r="H26" s="70" t="s">
        <v>78</v>
      </c>
      <c r="I26" s="70"/>
      <c r="J26" s="70" t="s">
        <v>78</v>
      </c>
      <c r="K26" s="70"/>
      <c r="L26" s="70" t="s">
        <v>78</v>
      </c>
      <c r="M26" s="106"/>
      <c r="N26" s="70" t="s">
        <v>78</v>
      </c>
      <c r="O26" s="70"/>
      <c r="P26" s="70" t="s">
        <v>78</v>
      </c>
      <c r="Q26" s="106"/>
      <c r="R26" s="70" t="s">
        <v>78</v>
      </c>
      <c r="S26" s="70"/>
      <c r="T26" s="70">
        <f>+'BS&amp;PL'!I238</f>
        <v>546325</v>
      </c>
      <c r="U26" s="70"/>
      <c r="V26" s="70">
        <f>+'BS&amp;PL'!I239</f>
        <v>28042</v>
      </c>
      <c r="W26" s="70"/>
      <c r="X26" s="70">
        <f t="shared" si="1"/>
        <v>574367</v>
      </c>
    </row>
    <row r="27" spans="1:24" s="7" customFormat="1" ht="18.75">
      <c r="A27" s="7" t="s">
        <v>198</v>
      </c>
      <c r="B27" s="16">
        <v>11</v>
      </c>
      <c r="D27" s="70" t="s">
        <v>78</v>
      </c>
      <c r="E27" s="70"/>
      <c r="F27" s="70" t="s">
        <v>78</v>
      </c>
      <c r="G27" s="70"/>
      <c r="H27" s="70" t="s">
        <v>78</v>
      </c>
      <c r="I27" s="70"/>
      <c r="J27" s="70" t="s">
        <v>78</v>
      </c>
      <c r="K27" s="70"/>
      <c r="L27" s="70" t="s">
        <v>78</v>
      </c>
      <c r="M27" s="106"/>
      <c r="N27" s="70" t="s">
        <v>78</v>
      </c>
      <c r="O27" s="70"/>
      <c r="P27" s="70" t="s">
        <v>78</v>
      </c>
      <c r="Q27" s="106"/>
      <c r="R27" s="70" t="s">
        <v>78</v>
      </c>
      <c r="S27" s="70"/>
      <c r="T27" s="70">
        <v>-590518</v>
      </c>
      <c r="U27" s="70"/>
      <c r="V27" s="70" t="s">
        <v>78</v>
      </c>
      <c r="W27" s="70"/>
      <c r="X27" s="70">
        <f t="shared" si="1"/>
        <v>-590518</v>
      </c>
    </row>
    <row r="28" spans="1:24" s="7" customFormat="1" ht="18.75">
      <c r="A28" s="7" t="s">
        <v>47</v>
      </c>
      <c r="D28" s="70" t="s">
        <v>78</v>
      </c>
      <c r="E28" s="70"/>
      <c r="F28" s="70" t="s">
        <v>78</v>
      </c>
      <c r="G28" s="70"/>
      <c r="H28" s="70" t="s">
        <v>78</v>
      </c>
      <c r="I28" s="109"/>
      <c r="J28" s="70" t="s">
        <v>78</v>
      </c>
      <c r="K28" s="109"/>
      <c r="L28" s="70" t="s">
        <v>78</v>
      </c>
      <c r="M28" s="106"/>
      <c r="N28" s="70" t="s">
        <v>78</v>
      </c>
      <c r="O28" s="109"/>
      <c r="P28" s="70" t="s">
        <v>78</v>
      </c>
      <c r="Q28" s="106"/>
      <c r="R28" s="70" t="s">
        <v>78</v>
      </c>
      <c r="S28" s="109"/>
      <c r="T28" s="70" t="s">
        <v>78</v>
      </c>
      <c r="U28" s="70"/>
      <c r="V28" s="109">
        <v>-42877</v>
      </c>
      <c r="W28" s="109"/>
      <c r="X28" s="70">
        <f t="shared" si="1"/>
        <v>-42877</v>
      </c>
    </row>
    <row r="29" spans="1:24" s="7" customFormat="1" ht="19.5" thickBot="1">
      <c r="A29" s="52" t="s">
        <v>226</v>
      </c>
      <c r="B29" s="52"/>
      <c r="C29" s="52"/>
      <c r="D29" s="107">
        <f>SUM(D22:D28)</f>
        <v>1183718</v>
      </c>
      <c r="E29" s="70"/>
      <c r="F29" s="107">
        <f>SUM(F22:F28)</f>
        <v>4721595</v>
      </c>
      <c r="G29" s="70"/>
      <c r="H29" s="107">
        <f>SUM(H22:H28)</f>
        <v>915809</v>
      </c>
      <c r="I29" s="70"/>
      <c r="J29" s="107">
        <f>SUM(J22:J28)</f>
        <v>739493</v>
      </c>
      <c r="K29" s="70"/>
      <c r="L29" s="107">
        <f>SUM(L22:L28)</f>
        <v>305000</v>
      </c>
      <c r="M29" s="106"/>
      <c r="N29" s="107">
        <f>SUM(N22:N28)</f>
        <v>-22112</v>
      </c>
      <c r="O29" s="70"/>
      <c r="P29" s="107">
        <f>SUM(P22:P28)</f>
        <v>49033</v>
      </c>
      <c r="Q29" s="106"/>
      <c r="R29" s="107">
        <f>SUM(R22:R28)</f>
        <v>131226</v>
      </c>
      <c r="S29" s="70"/>
      <c r="T29" s="107">
        <f>SUM(T22:T28)</f>
        <v>1741873</v>
      </c>
      <c r="U29" s="70"/>
      <c r="V29" s="107">
        <f>SUM(V22:V28)</f>
        <v>492145</v>
      </c>
      <c r="W29" s="70"/>
      <c r="X29" s="107">
        <f>SUM(X22:X28)</f>
        <v>10257780</v>
      </c>
    </row>
    <row r="30" spans="4:26" ht="19.5" thickTop="1"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84"/>
    </row>
    <row r="31" spans="1:26" ht="18.75">
      <c r="A31" s="1" t="s">
        <v>51</v>
      </c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84"/>
    </row>
    <row r="32" spans="1:26" ht="18.75">
      <c r="A32" s="1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84"/>
    </row>
    <row r="33" spans="1:26" ht="18.75">
      <c r="A33" s="1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84"/>
    </row>
    <row r="34" spans="1:26" ht="18.75">
      <c r="A34" s="1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84"/>
    </row>
    <row r="35" spans="1:26" ht="18.75">
      <c r="A35" s="1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84"/>
    </row>
    <row r="36" spans="1:25" ht="18.75">
      <c r="A36" s="155">
        <v>6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</row>
    <row r="37" ht="18" customHeight="1">
      <c r="X37" s="82" t="s">
        <v>175</v>
      </c>
    </row>
    <row r="38" spans="1:24" ht="18" customHeight="1">
      <c r="A38" s="98" t="s">
        <v>53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</row>
    <row r="39" spans="1:24" ht="18" customHeight="1">
      <c r="A39" s="98" t="s">
        <v>117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</row>
    <row r="40" spans="1:24" ht="18" customHeight="1">
      <c r="A40" s="98" t="s">
        <v>223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</row>
    <row r="41" spans="1:24" s="84" customFormat="1" ht="18" customHeight="1">
      <c r="A41" s="83"/>
      <c r="B41" s="83"/>
      <c r="C41" s="83"/>
      <c r="I41" s="85"/>
      <c r="X41" s="86" t="s">
        <v>196</v>
      </c>
    </row>
    <row r="42" spans="4:25" ht="18" customHeight="1">
      <c r="D42" s="88"/>
      <c r="E42" s="88"/>
      <c r="G42" s="91"/>
      <c r="H42" s="91"/>
      <c r="I42" s="91"/>
      <c r="J42" s="154" t="s">
        <v>157</v>
      </c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</row>
    <row r="43" spans="8:24" ht="18" customHeight="1">
      <c r="H43" s="85"/>
      <c r="I43" s="85"/>
      <c r="J43" s="85"/>
      <c r="K43" s="88"/>
      <c r="L43" s="154" t="s">
        <v>49</v>
      </c>
      <c r="M43" s="154"/>
      <c r="N43" s="154"/>
      <c r="O43" s="154"/>
      <c r="P43" s="154"/>
      <c r="Q43" s="91"/>
      <c r="T43" s="87"/>
      <c r="U43" s="94" t="s">
        <v>65</v>
      </c>
      <c r="V43" s="87"/>
      <c r="X43" s="88"/>
    </row>
    <row r="44" spans="8:24" ht="18" customHeight="1">
      <c r="H44" s="88"/>
      <c r="I44" s="88"/>
      <c r="J44" s="88"/>
      <c r="K44" s="88"/>
      <c r="L44" s="88"/>
      <c r="M44" s="88"/>
      <c r="N44" s="92" t="s">
        <v>49</v>
      </c>
      <c r="O44" s="85"/>
      <c r="P44" s="85"/>
      <c r="R44" s="92" t="s">
        <v>124</v>
      </c>
      <c r="T44" s="88"/>
      <c r="U44" s="85"/>
      <c r="V44" s="88"/>
      <c r="X44" s="88"/>
    </row>
    <row r="45" spans="1:24" ht="18" customHeight="1">
      <c r="A45" s="92"/>
      <c r="B45" s="92"/>
      <c r="C45" s="92"/>
      <c r="H45" s="84"/>
      <c r="I45" s="92"/>
      <c r="J45" s="92" t="s">
        <v>12</v>
      </c>
      <c r="K45" s="92"/>
      <c r="N45" s="92" t="s">
        <v>202</v>
      </c>
      <c r="O45" s="92"/>
      <c r="P45" s="92" t="s">
        <v>49</v>
      </c>
      <c r="R45" s="92" t="s">
        <v>189</v>
      </c>
      <c r="T45" s="92" t="s">
        <v>127</v>
      </c>
      <c r="X45" s="92"/>
    </row>
    <row r="46" spans="8:22" ht="18" customHeight="1">
      <c r="H46" s="2" t="s">
        <v>33</v>
      </c>
      <c r="J46" s="92" t="s">
        <v>34</v>
      </c>
      <c r="L46" s="92" t="s">
        <v>128</v>
      </c>
      <c r="M46" s="92"/>
      <c r="N46" s="92" t="s">
        <v>190</v>
      </c>
      <c r="O46" s="92"/>
      <c r="P46" s="92" t="s">
        <v>129</v>
      </c>
      <c r="R46" s="92" t="s">
        <v>131</v>
      </c>
      <c r="T46" s="92" t="s">
        <v>80</v>
      </c>
      <c r="U46" s="92"/>
      <c r="V46" s="92"/>
    </row>
    <row r="47" spans="1:24" ht="18" customHeight="1">
      <c r="A47" s="92"/>
      <c r="B47" s="92"/>
      <c r="C47" s="92"/>
      <c r="H47" s="7"/>
      <c r="I47" s="92"/>
      <c r="J47" s="94" t="s">
        <v>35</v>
      </c>
      <c r="K47" s="92"/>
      <c r="L47" s="94" t="s">
        <v>132</v>
      </c>
      <c r="M47" s="85"/>
      <c r="N47" s="94" t="s">
        <v>105</v>
      </c>
      <c r="O47" s="92"/>
      <c r="P47" s="94" t="s">
        <v>166</v>
      </c>
      <c r="R47" s="94" t="s">
        <v>134</v>
      </c>
      <c r="T47" s="94" t="s">
        <v>79</v>
      </c>
      <c r="U47" s="85"/>
      <c r="V47" s="94" t="s">
        <v>26</v>
      </c>
      <c r="X47" s="94" t="s">
        <v>28</v>
      </c>
    </row>
    <row r="48" spans="1:24" s="7" customFormat="1" ht="18" customHeight="1">
      <c r="A48" s="52" t="s">
        <v>199</v>
      </c>
      <c r="B48" s="52"/>
      <c r="C48" s="52"/>
      <c r="I48" s="76"/>
      <c r="J48" s="70">
        <f>+'BS&amp;PL'!M119</f>
        <v>1214131</v>
      </c>
      <c r="K48" s="70"/>
      <c r="L48" s="70">
        <f>+'BS&amp;PL'!M121</f>
        <v>5753510</v>
      </c>
      <c r="M48" s="70"/>
      <c r="N48" s="70">
        <f>+'BS&amp;PL'!M122</f>
        <v>-79</v>
      </c>
      <c r="O48" s="70"/>
      <c r="P48" s="70">
        <f>+'BS&amp;PL'!M123</f>
        <v>728481</v>
      </c>
      <c r="Q48" s="70"/>
      <c r="R48" s="70">
        <f>+'BS&amp;PL'!M126</f>
        <v>37353</v>
      </c>
      <c r="S48" s="70"/>
      <c r="T48" s="70">
        <f>+'BS&amp;PL'!M128</f>
        <v>131226</v>
      </c>
      <c r="U48" s="70"/>
      <c r="V48" s="70">
        <f>+'BS&amp;PL'!M129</f>
        <v>1096714</v>
      </c>
      <c r="W48" s="70"/>
      <c r="X48" s="70">
        <f>SUM(J48:W48)</f>
        <v>8961336</v>
      </c>
    </row>
    <row r="49" spans="1:24" s="7" customFormat="1" ht="18" customHeight="1">
      <c r="A49" s="7" t="s">
        <v>155</v>
      </c>
      <c r="B49" s="52"/>
      <c r="C49" s="52"/>
      <c r="H49" s="16">
        <f>+H56</f>
        <v>15</v>
      </c>
      <c r="I49" s="76"/>
      <c r="J49" s="70">
        <v>368</v>
      </c>
      <c r="K49" s="70"/>
      <c r="L49" s="70">
        <v>13245</v>
      </c>
      <c r="M49" s="70"/>
      <c r="N49" s="70" t="s">
        <v>78</v>
      </c>
      <c r="O49" s="70"/>
      <c r="P49" s="70" t="s">
        <v>78</v>
      </c>
      <c r="Q49" s="70"/>
      <c r="R49" s="70">
        <v>-141</v>
      </c>
      <c r="S49" s="70"/>
      <c r="T49" s="70" t="s">
        <v>78</v>
      </c>
      <c r="U49" s="70"/>
      <c r="V49" s="70" t="s">
        <v>78</v>
      </c>
      <c r="W49" s="70"/>
      <c r="X49" s="70">
        <f>SUM(J49:W49)</f>
        <v>13472</v>
      </c>
    </row>
    <row r="50" spans="1:24" s="7" customFormat="1" ht="18" customHeight="1">
      <c r="A50" s="7" t="s">
        <v>107</v>
      </c>
      <c r="I50" s="76"/>
      <c r="J50" s="70" t="s">
        <v>78</v>
      </c>
      <c r="K50" s="70"/>
      <c r="L50" s="70" t="s">
        <v>78</v>
      </c>
      <c r="M50" s="70"/>
      <c r="N50" s="70">
        <v>-281</v>
      </c>
      <c r="O50" s="70"/>
      <c r="P50" s="70" t="s">
        <v>78</v>
      </c>
      <c r="Q50" s="106"/>
      <c r="R50" s="70" t="s">
        <v>78</v>
      </c>
      <c r="S50" s="106"/>
      <c r="T50" s="70" t="s">
        <v>78</v>
      </c>
      <c r="U50" s="70"/>
      <c r="V50" s="70" t="s">
        <v>78</v>
      </c>
      <c r="W50" s="106"/>
      <c r="X50" s="70">
        <f>SUM(J50:W50)</f>
        <v>-281</v>
      </c>
    </row>
    <row r="51" spans="1:24" s="7" customFormat="1" ht="18" customHeight="1">
      <c r="A51" s="7" t="s">
        <v>177</v>
      </c>
      <c r="H51" s="96"/>
      <c r="I51" s="97"/>
      <c r="J51" s="70" t="s">
        <v>78</v>
      </c>
      <c r="K51" s="70"/>
      <c r="L51" s="70" t="s">
        <v>78</v>
      </c>
      <c r="M51" s="109"/>
      <c r="N51" s="70" t="s">
        <v>78</v>
      </c>
      <c r="O51" s="109"/>
      <c r="P51" s="70" t="s">
        <v>78</v>
      </c>
      <c r="Q51" s="106"/>
      <c r="R51" s="70" t="s">
        <v>78</v>
      </c>
      <c r="S51" s="106"/>
      <c r="T51" s="70" t="s">
        <v>78</v>
      </c>
      <c r="U51" s="109"/>
      <c r="V51" s="70">
        <f>+'BS&amp;PL'!K238</f>
        <v>283438</v>
      </c>
      <c r="W51" s="106"/>
      <c r="X51" s="70">
        <f>SUM(J51:W51)</f>
        <v>283438</v>
      </c>
    </row>
    <row r="52" spans="1:24" s="7" customFormat="1" ht="18" customHeight="1">
      <c r="A52" s="7" t="s">
        <v>198</v>
      </c>
      <c r="H52" s="16">
        <v>11</v>
      </c>
      <c r="I52" s="97"/>
      <c r="J52" s="70" t="s">
        <v>78</v>
      </c>
      <c r="K52" s="70"/>
      <c r="L52" s="70" t="s">
        <v>78</v>
      </c>
      <c r="M52" s="109"/>
      <c r="N52" s="70" t="s">
        <v>78</v>
      </c>
      <c r="O52" s="109"/>
      <c r="P52" s="70" t="s">
        <v>78</v>
      </c>
      <c r="Q52" s="106"/>
      <c r="R52" s="70" t="s">
        <v>78</v>
      </c>
      <c r="S52" s="106"/>
      <c r="T52" s="70" t="s">
        <v>78</v>
      </c>
      <c r="U52" s="109"/>
      <c r="V52" s="70">
        <f>+T18</f>
        <v>-607065</v>
      </c>
      <c r="W52" s="106"/>
      <c r="X52" s="70">
        <f>SUM(J52:W52)</f>
        <v>-607065</v>
      </c>
    </row>
    <row r="53" spans="1:24" s="7" customFormat="1" ht="18" customHeight="1" thickBot="1">
      <c r="A53" s="52" t="s">
        <v>225</v>
      </c>
      <c r="B53" s="52"/>
      <c r="C53" s="52"/>
      <c r="H53" s="76"/>
      <c r="I53" s="76"/>
      <c r="J53" s="107">
        <f>SUM(J48:J52)</f>
        <v>1214499</v>
      </c>
      <c r="K53" s="70"/>
      <c r="L53" s="107">
        <f>SUM(L48:L52)</f>
        <v>5766755</v>
      </c>
      <c r="M53" s="70"/>
      <c r="N53" s="107">
        <f>SUM(N48:N52)</f>
        <v>-360</v>
      </c>
      <c r="O53" s="70"/>
      <c r="P53" s="107">
        <f>SUM(P48:P52)</f>
        <v>728481</v>
      </c>
      <c r="Q53" s="106"/>
      <c r="R53" s="107">
        <f>SUM(R48:R52)</f>
        <v>37212</v>
      </c>
      <c r="S53" s="106"/>
      <c r="T53" s="107">
        <f>SUM(T48:T52)</f>
        <v>131226</v>
      </c>
      <c r="U53" s="70"/>
      <c r="V53" s="107">
        <f>SUM(V48:V52)</f>
        <v>773087</v>
      </c>
      <c r="W53" s="106"/>
      <c r="X53" s="107">
        <f>SUM(X48:X52)</f>
        <v>8650900</v>
      </c>
    </row>
    <row r="54" spans="1:25" s="7" customFormat="1" ht="18" customHeight="1" thickTop="1">
      <c r="A54" s="52"/>
      <c r="B54" s="52"/>
      <c r="C54" s="52"/>
      <c r="D54" s="76"/>
      <c r="E54" s="76"/>
      <c r="F54" s="17"/>
      <c r="G54" s="17"/>
      <c r="H54" s="17"/>
      <c r="I54" s="17"/>
      <c r="J54" s="70"/>
      <c r="K54" s="70"/>
      <c r="L54" s="70"/>
      <c r="M54" s="106"/>
      <c r="N54" s="70"/>
      <c r="O54" s="106"/>
      <c r="P54" s="106"/>
      <c r="Q54" s="106"/>
      <c r="R54" s="106"/>
      <c r="S54" s="106"/>
      <c r="T54" s="70"/>
      <c r="U54" s="70"/>
      <c r="V54" s="70"/>
      <c r="W54" s="106"/>
      <c r="X54" s="70"/>
      <c r="Y54" s="17"/>
    </row>
    <row r="55" spans="1:24" s="7" customFormat="1" ht="18" customHeight="1">
      <c r="A55" s="52" t="s">
        <v>200</v>
      </c>
      <c r="B55" s="52"/>
      <c r="C55" s="52"/>
      <c r="I55" s="76"/>
      <c r="J55" s="70">
        <v>1181038</v>
      </c>
      <c r="K55" s="70"/>
      <c r="L55" s="70">
        <v>4562167</v>
      </c>
      <c r="M55" s="70"/>
      <c r="N55" s="70">
        <v>679137</v>
      </c>
      <c r="O55" s="70"/>
      <c r="P55" s="70">
        <v>427123</v>
      </c>
      <c r="Q55" s="70"/>
      <c r="R55" s="70">
        <v>50063</v>
      </c>
      <c r="S55" s="70"/>
      <c r="T55" s="70">
        <v>131226</v>
      </c>
      <c r="U55" s="70"/>
      <c r="V55" s="70">
        <v>1060240</v>
      </c>
      <c r="W55" s="70"/>
      <c r="X55" s="70">
        <f>SUM(J55:W55)</f>
        <v>8090994</v>
      </c>
    </row>
    <row r="56" spans="1:24" s="7" customFormat="1" ht="18" customHeight="1">
      <c r="A56" s="7" t="s">
        <v>155</v>
      </c>
      <c r="B56" s="52"/>
      <c r="C56" s="52"/>
      <c r="H56" s="16">
        <f>+B23</f>
        <v>15</v>
      </c>
      <c r="I56" s="76"/>
      <c r="J56" s="70">
        <f>+D23</f>
        <v>2680</v>
      </c>
      <c r="K56" s="70"/>
      <c r="L56" s="70">
        <f>+F23</f>
        <v>96504</v>
      </c>
      <c r="M56" s="70"/>
      <c r="N56" s="70" t="s">
        <v>78</v>
      </c>
      <c r="O56" s="70"/>
      <c r="P56" s="70" t="s">
        <v>78</v>
      </c>
      <c r="Q56" s="70"/>
      <c r="R56" s="70">
        <f>+P23</f>
        <v>-1030</v>
      </c>
      <c r="S56" s="70"/>
      <c r="T56" s="70" t="s">
        <v>78</v>
      </c>
      <c r="U56" s="70"/>
      <c r="V56" s="70" t="s">
        <v>78</v>
      </c>
      <c r="W56" s="70"/>
      <c r="X56" s="70">
        <f>SUM(J56:W56)</f>
        <v>98154</v>
      </c>
    </row>
    <row r="57" spans="1:24" s="7" customFormat="1" ht="18" customHeight="1">
      <c r="A57" s="7" t="s">
        <v>107</v>
      </c>
      <c r="I57" s="76"/>
      <c r="J57" s="70" t="s">
        <v>78</v>
      </c>
      <c r="K57" s="70"/>
      <c r="L57" s="70" t="s">
        <v>78</v>
      </c>
      <c r="M57" s="70"/>
      <c r="N57" s="70">
        <f>+H24</f>
        <v>236672</v>
      </c>
      <c r="O57" s="70"/>
      <c r="P57" s="70" t="s">
        <v>78</v>
      </c>
      <c r="Q57" s="106"/>
      <c r="R57" s="70" t="s">
        <v>78</v>
      </c>
      <c r="S57" s="106"/>
      <c r="T57" s="70" t="s">
        <v>78</v>
      </c>
      <c r="U57" s="70"/>
      <c r="V57" s="70" t="s">
        <v>78</v>
      </c>
      <c r="W57" s="106"/>
      <c r="X57" s="70">
        <f>SUM(J57:W57)</f>
        <v>236672</v>
      </c>
    </row>
    <row r="58" spans="1:24" s="7" customFormat="1" ht="18" customHeight="1">
      <c r="A58" s="7" t="s">
        <v>177</v>
      </c>
      <c r="H58" s="96"/>
      <c r="I58" s="97"/>
      <c r="J58" s="70" t="s">
        <v>78</v>
      </c>
      <c r="K58" s="70"/>
      <c r="L58" s="70" t="s">
        <v>78</v>
      </c>
      <c r="M58" s="109"/>
      <c r="N58" s="70" t="s">
        <v>78</v>
      </c>
      <c r="O58" s="109"/>
      <c r="P58" s="70" t="s">
        <v>78</v>
      </c>
      <c r="Q58" s="106"/>
      <c r="R58" s="70" t="s">
        <v>78</v>
      </c>
      <c r="S58" s="106"/>
      <c r="T58" s="70" t="s">
        <v>78</v>
      </c>
      <c r="U58" s="109"/>
      <c r="V58" s="70">
        <f>+'BS&amp;PL'!M238</f>
        <v>180529</v>
      </c>
      <c r="W58" s="106"/>
      <c r="X58" s="70">
        <f>SUM(J58:W58)</f>
        <v>180529</v>
      </c>
    </row>
    <row r="59" spans="1:24" s="7" customFormat="1" ht="18" customHeight="1">
      <c r="A59" s="7" t="s">
        <v>198</v>
      </c>
      <c r="H59" s="16">
        <v>11</v>
      </c>
      <c r="I59" s="97"/>
      <c r="J59" s="70" t="s">
        <v>78</v>
      </c>
      <c r="K59" s="70"/>
      <c r="L59" s="70" t="s">
        <v>78</v>
      </c>
      <c r="M59" s="109"/>
      <c r="N59" s="70" t="s">
        <v>78</v>
      </c>
      <c r="O59" s="109"/>
      <c r="P59" s="70" t="s">
        <v>78</v>
      </c>
      <c r="Q59" s="106"/>
      <c r="R59" s="70" t="s">
        <v>78</v>
      </c>
      <c r="S59" s="106"/>
      <c r="T59" s="70" t="s">
        <v>78</v>
      </c>
      <c r="U59" s="109"/>
      <c r="V59" s="70">
        <f>+T27</f>
        <v>-590518</v>
      </c>
      <c r="W59" s="106"/>
      <c r="X59" s="70">
        <f>SUM(J59:W59)</f>
        <v>-590518</v>
      </c>
    </row>
    <row r="60" spans="1:24" s="7" customFormat="1" ht="18" customHeight="1" thickBot="1">
      <c r="A60" s="52" t="s">
        <v>226</v>
      </c>
      <c r="B60" s="52"/>
      <c r="C60" s="52"/>
      <c r="H60" s="76"/>
      <c r="I60" s="76"/>
      <c r="J60" s="107">
        <f>SUM(J55:J59)</f>
        <v>1183718</v>
      </c>
      <c r="K60" s="70"/>
      <c r="L60" s="107">
        <f>SUM(L55:L59)</f>
        <v>4658671</v>
      </c>
      <c r="M60" s="70"/>
      <c r="N60" s="107">
        <f>SUM(N55:N59)</f>
        <v>915809</v>
      </c>
      <c r="O60" s="70"/>
      <c r="P60" s="107">
        <f>SUM(P55:P59)</f>
        <v>427123</v>
      </c>
      <c r="Q60" s="106"/>
      <c r="R60" s="107">
        <f>SUM(R55:R59)</f>
        <v>49033</v>
      </c>
      <c r="S60" s="106"/>
      <c r="T60" s="107">
        <f>SUM(T55:T59)</f>
        <v>131226</v>
      </c>
      <c r="U60" s="70"/>
      <c r="V60" s="107">
        <f>SUM(V55:V59)</f>
        <v>650251</v>
      </c>
      <c r="W60" s="106"/>
      <c r="X60" s="107">
        <f>SUM(X55:X59)</f>
        <v>8015831</v>
      </c>
    </row>
    <row r="61" spans="8:24" s="99" customFormat="1" ht="18" customHeight="1" thickTop="1"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</row>
    <row r="62" spans="1:26" ht="18" customHeight="1">
      <c r="A62" s="1" t="s">
        <v>51</v>
      </c>
      <c r="B62" s="1"/>
      <c r="D62" s="95"/>
      <c r="E62" s="95"/>
      <c r="F62" s="95"/>
      <c r="G62" s="95"/>
      <c r="H62" s="95"/>
      <c r="I62" s="95"/>
      <c r="J62" s="95"/>
      <c r="K62" s="95"/>
      <c r="L62" s="95"/>
      <c r="M62" s="95"/>
      <c r="O62" s="95"/>
      <c r="P62" s="95"/>
      <c r="Q62" s="95"/>
      <c r="R62" s="95"/>
      <c r="S62" s="95"/>
      <c r="T62" s="95"/>
      <c r="U62" s="95"/>
      <c r="V62" s="95"/>
      <c r="W62" s="95"/>
      <c r="Y62" s="95"/>
      <c r="Z62" s="84"/>
    </row>
    <row r="63" spans="1:26" ht="18" customHeight="1">
      <c r="A63" s="1"/>
      <c r="B63" s="1"/>
      <c r="D63" s="95"/>
      <c r="E63" s="95"/>
      <c r="F63" s="95"/>
      <c r="G63" s="95"/>
      <c r="H63" s="95"/>
      <c r="I63" s="95"/>
      <c r="J63" s="95"/>
      <c r="K63" s="95"/>
      <c r="L63" s="95"/>
      <c r="M63" s="95"/>
      <c r="O63" s="95"/>
      <c r="P63" s="95"/>
      <c r="Q63" s="95"/>
      <c r="R63" s="95"/>
      <c r="S63" s="95"/>
      <c r="T63" s="95"/>
      <c r="U63" s="95"/>
      <c r="V63" s="95"/>
      <c r="W63" s="95"/>
      <c r="Y63" s="95"/>
      <c r="Z63" s="84"/>
    </row>
    <row r="64" spans="1:26" ht="18" customHeight="1">
      <c r="A64" s="1"/>
      <c r="B64" s="1"/>
      <c r="D64" s="95"/>
      <c r="E64" s="95"/>
      <c r="F64" s="95"/>
      <c r="G64" s="95"/>
      <c r="H64" s="95"/>
      <c r="I64" s="95"/>
      <c r="J64" s="95"/>
      <c r="K64" s="95"/>
      <c r="L64" s="95"/>
      <c r="M64" s="95"/>
      <c r="O64" s="95"/>
      <c r="P64" s="95"/>
      <c r="Q64" s="95"/>
      <c r="R64" s="95"/>
      <c r="S64" s="95"/>
      <c r="T64" s="95"/>
      <c r="U64" s="95"/>
      <c r="V64" s="95"/>
      <c r="W64" s="95"/>
      <c r="Y64" s="95"/>
      <c r="Z64" s="84"/>
    </row>
    <row r="65" spans="1:26" ht="18" customHeight="1">
      <c r="A65" s="1"/>
      <c r="B65" s="1"/>
      <c r="D65" s="95"/>
      <c r="E65" s="95"/>
      <c r="F65" s="95"/>
      <c r="G65" s="95"/>
      <c r="H65" s="95"/>
      <c r="I65" s="95"/>
      <c r="J65" s="95"/>
      <c r="K65" s="95"/>
      <c r="L65" s="95"/>
      <c r="M65" s="95"/>
      <c r="O65" s="95"/>
      <c r="P65" s="95"/>
      <c r="Q65" s="95"/>
      <c r="R65" s="95"/>
      <c r="S65" s="95"/>
      <c r="T65" s="95"/>
      <c r="U65" s="95"/>
      <c r="V65" s="95"/>
      <c r="W65" s="95"/>
      <c r="Y65" s="95"/>
      <c r="Z65" s="84"/>
    </row>
    <row r="66" spans="1:26" ht="18" customHeight="1">
      <c r="A66" s="1"/>
      <c r="B66" s="1"/>
      <c r="D66" s="95"/>
      <c r="E66" s="95"/>
      <c r="F66" s="95"/>
      <c r="G66" s="95"/>
      <c r="H66" s="95"/>
      <c r="I66" s="95"/>
      <c r="J66" s="95"/>
      <c r="K66" s="95"/>
      <c r="L66" s="95"/>
      <c r="M66" s="95"/>
      <c r="O66" s="95"/>
      <c r="P66" s="95"/>
      <c r="Q66" s="95"/>
      <c r="R66" s="95"/>
      <c r="S66" s="95"/>
      <c r="T66" s="95"/>
      <c r="U66" s="95"/>
      <c r="V66" s="95"/>
      <c r="W66" s="95"/>
      <c r="Y66" s="95"/>
      <c r="Z66" s="84"/>
    </row>
    <row r="67" spans="1:26" ht="18" customHeight="1">
      <c r="A67" s="1"/>
      <c r="B67" s="1"/>
      <c r="D67" s="95"/>
      <c r="E67" s="95"/>
      <c r="F67" s="95"/>
      <c r="G67" s="95"/>
      <c r="H67" s="95"/>
      <c r="I67" s="95"/>
      <c r="J67" s="95"/>
      <c r="K67" s="95"/>
      <c r="L67" s="95"/>
      <c r="M67" s="95"/>
      <c r="O67" s="95"/>
      <c r="P67" s="95"/>
      <c r="Q67" s="95"/>
      <c r="R67" s="95"/>
      <c r="S67" s="95"/>
      <c r="T67" s="95"/>
      <c r="U67" s="95"/>
      <c r="V67" s="95"/>
      <c r="W67" s="95"/>
      <c r="Y67" s="95"/>
      <c r="Z67" s="84"/>
    </row>
    <row r="68" spans="1:26" ht="18" customHeight="1">
      <c r="A68" s="1"/>
      <c r="B68" s="1"/>
      <c r="D68" s="95"/>
      <c r="E68" s="95"/>
      <c r="F68" s="95"/>
      <c r="G68" s="95"/>
      <c r="H68" s="95"/>
      <c r="I68" s="95"/>
      <c r="J68" s="95"/>
      <c r="K68" s="95"/>
      <c r="L68" s="95"/>
      <c r="M68" s="95"/>
      <c r="O68" s="95"/>
      <c r="P68" s="95"/>
      <c r="Q68" s="95"/>
      <c r="R68" s="95"/>
      <c r="S68" s="95"/>
      <c r="T68" s="95"/>
      <c r="U68" s="95"/>
      <c r="V68" s="95"/>
      <c r="W68" s="95"/>
      <c r="Y68" s="95"/>
      <c r="Z68" s="84"/>
    </row>
    <row r="69" spans="1:26" ht="18" customHeight="1">
      <c r="A69" s="1"/>
      <c r="B69" s="1"/>
      <c r="D69" s="95"/>
      <c r="E69" s="95"/>
      <c r="F69" s="95"/>
      <c r="G69" s="95"/>
      <c r="H69" s="95"/>
      <c r="I69" s="95"/>
      <c r="J69" s="95"/>
      <c r="K69" s="95"/>
      <c r="L69" s="95"/>
      <c r="M69" s="95"/>
      <c r="O69" s="95"/>
      <c r="P69" s="95"/>
      <c r="Q69" s="95"/>
      <c r="R69" s="95"/>
      <c r="S69" s="95"/>
      <c r="T69" s="95"/>
      <c r="U69" s="95"/>
      <c r="V69" s="95"/>
      <c r="W69" s="95"/>
      <c r="Y69" s="95"/>
      <c r="Z69" s="84"/>
    </row>
    <row r="70" spans="1:26" ht="18" customHeight="1">
      <c r="A70" s="1"/>
      <c r="B70" s="1"/>
      <c r="D70" s="95"/>
      <c r="E70" s="95"/>
      <c r="F70" s="95"/>
      <c r="G70" s="95"/>
      <c r="H70" s="95"/>
      <c r="I70" s="95"/>
      <c r="J70" s="95"/>
      <c r="K70" s="95"/>
      <c r="L70" s="95"/>
      <c r="M70" s="95"/>
      <c r="O70" s="95"/>
      <c r="P70" s="95"/>
      <c r="Q70" s="95"/>
      <c r="R70" s="95"/>
      <c r="S70" s="95"/>
      <c r="T70" s="95"/>
      <c r="U70" s="95"/>
      <c r="V70" s="95"/>
      <c r="W70" s="95"/>
      <c r="Y70" s="95"/>
      <c r="Z70" s="84"/>
    </row>
    <row r="71" spans="1:26" ht="18" customHeight="1">
      <c r="A71" s="1"/>
      <c r="B71" s="1"/>
      <c r="D71" s="95"/>
      <c r="E71" s="95"/>
      <c r="F71" s="95"/>
      <c r="G71" s="95"/>
      <c r="H71" s="95"/>
      <c r="I71" s="95"/>
      <c r="J71" s="95"/>
      <c r="K71" s="95"/>
      <c r="L71" s="95"/>
      <c r="M71" s="95"/>
      <c r="O71" s="95"/>
      <c r="P71" s="95"/>
      <c r="Q71" s="95"/>
      <c r="R71" s="95"/>
      <c r="S71" s="95"/>
      <c r="T71" s="95"/>
      <c r="U71" s="95"/>
      <c r="V71" s="95"/>
      <c r="W71" s="95"/>
      <c r="Y71" s="95"/>
      <c r="Z71" s="84"/>
    </row>
    <row r="72" spans="1:26" ht="18" customHeight="1">
      <c r="A72" s="1"/>
      <c r="B72" s="1"/>
      <c r="D72" s="95"/>
      <c r="E72" s="95"/>
      <c r="F72" s="95"/>
      <c r="G72" s="95"/>
      <c r="H72" s="95"/>
      <c r="I72" s="95"/>
      <c r="J72" s="95"/>
      <c r="K72" s="95"/>
      <c r="L72" s="95"/>
      <c r="M72" s="95"/>
      <c r="O72" s="95"/>
      <c r="P72" s="95"/>
      <c r="Q72" s="95"/>
      <c r="R72" s="95"/>
      <c r="S72" s="95"/>
      <c r="T72" s="95"/>
      <c r="U72" s="95"/>
      <c r="V72" s="95"/>
      <c r="W72" s="95"/>
      <c r="Y72" s="95"/>
      <c r="Z72" s="84"/>
    </row>
    <row r="73" spans="1:25" ht="18.75">
      <c r="A73" s="155">
        <v>7</v>
      </c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</row>
  </sheetData>
  <mergeCells count="5">
    <mergeCell ref="R7:T7"/>
    <mergeCell ref="L43:P43"/>
    <mergeCell ref="A36:Y36"/>
    <mergeCell ref="A73:Y73"/>
    <mergeCell ref="J42:Y42"/>
  </mergeCells>
  <printOptions horizontalCentered="1"/>
  <pageMargins left="0.3937007874015748" right="0.7874015748031497" top="0.984251968503937" bottom="0.3937007874015748" header="0.68" footer="0.1968503937007874"/>
  <pageSetup firstPageNumber="3" useFirstPageNumber="1" horizontalDpi="600" verticalDpi="600" orientation="landscape" paperSize="9" scale="75" r:id="rId1"/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85"/>
  <sheetViews>
    <sheetView showGridLines="0" zoomScaleSheetLayoutView="100" workbookViewId="0" topLeftCell="A58">
      <selection activeCell="A71" sqref="A71"/>
    </sheetView>
  </sheetViews>
  <sheetFormatPr defaultColWidth="9.140625" defaultRowHeight="21.75"/>
  <cols>
    <col min="1" max="1" width="36.28125" style="23" customWidth="1"/>
    <col min="2" max="2" width="7.28125" style="23" customWidth="1"/>
    <col min="3" max="3" width="1.7109375" style="23" customWidth="1"/>
    <col min="4" max="4" width="12.7109375" style="23" customWidth="1"/>
    <col min="5" max="5" width="1.7109375" style="23" customWidth="1"/>
    <col min="6" max="6" width="12.7109375" style="23" customWidth="1"/>
    <col min="7" max="7" width="1.7109375" style="23" customWidth="1"/>
    <col min="8" max="8" width="12.7109375" style="23" customWidth="1"/>
    <col min="9" max="9" width="1.7109375" style="23" customWidth="1"/>
    <col min="10" max="10" width="12.7109375" style="23" customWidth="1"/>
    <col min="11" max="11" width="1.7109375" style="23" customWidth="1"/>
    <col min="12" max="12" width="12.7109375" style="23" customWidth="1"/>
    <col min="13" max="13" width="1.7109375" style="23" customWidth="1"/>
    <col min="14" max="14" width="12.7109375" style="23" customWidth="1"/>
    <col min="15" max="15" width="1.7109375" style="23" customWidth="1"/>
    <col min="16" max="16" width="12.7109375" style="23" customWidth="1"/>
    <col min="17" max="17" width="1.7109375" style="23" customWidth="1"/>
    <col min="18" max="18" width="12.7109375" style="23" customWidth="1"/>
    <col min="19" max="19" width="1.7109375" style="23" customWidth="1"/>
    <col min="20" max="20" width="12.7109375" style="23" customWidth="1"/>
    <col min="21" max="21" width="1.7109375" style="23" customWidth="1"/>
    <col min="22" max="22" width="12.7109375" style="23" customWidth="1"/>
    <col min="23" max="23" width="1.7109375" style="23" customWidth="1"/>
    <col min="24" max="24" width="12.7109375" style="23" customWidth="1"/>
    <col min="25" max="25" width="1.7109375" style="23" customWidth="1"/>
    <col min="26" max="16384" width="8.00390625" style="23" customWidth="1"/>
  </cols>
  <sheetData>
    <row r="1" spans="1:24" ht="18">
      <c r="A1" s="159" t="s">
        <v>53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</row>
    <row r="2" spans="1:24" ht="18">
      <c r="A2" s="159" t="s">
        <v>38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4" ht="18">
      <c r="A3" s="159" t="s">
        <v>149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</row>
    <row r="4" spans="5:24" s="25" customFormat="1" ht="18">
      <c r="E4" s="26"/>
      <c r="X4" s="27" t="s">
        <v>81</v>
      </c>
    </row>
    <row r="5" spans="3:24" ht="18">
      <c r="C5" s="25"/>
      <c r="D5" s="157" t="s">
        <v>43</v>
      </c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</row>
    <row r="6" spans="2:23" s="24" customFormat="1" ht="18">
      <c r="B6" s="26"/>
      <c r="C6" s="26"/>
      <c r="D6" s="26"/>
      <c r="E6" s="26"/>
      <c r="F6" s="156" t="s">
        <v>49</v>
      </c>
      <c r="G6" s="156"/>
      <c r="H6" s="156"/>
      <c r="I6" s="156"/>
      <c r="J6" s="156"/>
      <c r="K6" s="156"/>
      <c r="L6" s="156"/>
      <c r="N6" s="26"/>
      <c r="P6" s="24" t="s">
        <v>124</v>
      </c>
      <c r="R6" s="156" t="s">
        <v>65</v>
      </c>
      <c r="S6" s="156"/>
      <c r="T6" s="156"/>
      <c r="U6" s="26"/>
      <c r="V6" s="24" t="s">
        <v>44</v>
      </c>
      <c r="W6" s="26"/>
    </row>
    <row r="7" spans="4:22" s="24" customFormat="1" ht="18">
      <c r="D7" s="24" t="s">
        <v>12</v>
      </c>
      <c r="H7" s="24" t="s">
        <v>113</v>
      </c>
      <c r="J7" s="24" t="s">
        <v>49</v>
      </c>
      <c r="L7" s="24" t="s">
        <v>125</v>
      </c>
      <c r="O7" s="26"/>
      <c r="P7" s="24" t="s">
        <v>126</v>
      </c>
      <c r="Q7" s="26"/>
      <c r="R7" s="24" t="s">
        <v>127</v>
      </c>
      <c r="V7" s="24" t="s">
        <v>45</v>
      </c>
    </row>
    <row r="8" spans="4:22" s="24" customFormat="1" ht="18">
      <c r="D8" s="24" t="s">
        <v>34</v>
      </c>
      <c r="F8" s="24" t="s">
        <v>128</v>
      </c>
      <c r="H8" s="24" t="s">
        <v>114</v>
      </c>
      <c r="J8" s="24" t="s">
        <v>129</v>
      </c>
      <c r="L8" s="24" t="s">
        <v>130</v>
      </c>
      <c r="N8" s="24" t="s">
        <v>125</v>
      </c>
      <c r="P8" s="24" t="s">
        <v>131</v>
      </c>
      <c r="R8" s="24" t="s">
        <v>80</v>
      </c>
      <c r="V8" s="24" t="s">
        <v>46</v>
      </c>
    </row>
    <row r="9" spans="2:24" s="24" customFormat="1" ht="18">
      <c r="B9" s="29" t="s">
        <v>33</v>
      </c>
      <c r="D9" s="28" t="s">
        <v>35</v>
      </c>
      <c r="F9" s="28" t="s">
        <v>132</v>
      </c>
      <c r="H9" s="28" t="s">
        <v>105</v>
      </c>
      <c r="J9" s="28" t="s">
        <v>164</v>
      </c>
      <c r="K9" s="26"/>
      <c r="L9" s="28" t="s">
        <v>133</v>
      </c>
      <c r="N9" s="28" t="s">
        <v>148</v>
      </c>
      <c r="P9" s="28" t="s">
        <v>134</v>
      </c>
      <c r="R9" s="28" t="s">
        <v>79</v>
      </c>
      <c r="S9" s="26"/>
      <c r="T9" s="28" t="s">
        <v>26</v>
      </c>
      <c r="V9" s="28" t="s">
        <v>145</v>
      </c>
      <c r="X9" s="28" t="s">
        <v>28</v>
      </c>
    </row>
    <row r="10" spans="1:24" s="32" customFormat="1" ht="18">
      <c r="A10" s="30" t="s">
        <v>151</v>
      </c>
      <c r="B10" s="51"/>
      <c r="C10" s="30"/>
      <c r="D10" s="34">
        <v>1163410108</v>
      </c>
      <c r="E10" s="31"/>
      <c r="F10" s="34">
        <v>4322607094</v>
      </c>
      <c r="G10" s="31"/>
      <c r="H10" s="34">
        <v>254659742</v>
      </c>
      <c r="I10" s="31"/>
      <c r="J10" s="34">
        <v>963796488</v>
      </c>
      <c r="K10" s="31"/>
      <c r="L10" s="35" t="s">
        <v>78</v>
      </c>
      <c r="N10" s="35" t="s">
        <v>78</v>
      </c>
      <c r="O10" s="31"/>
      <c r="P10" s="35" t="s">
        <v>78</v>
      </c>
      <c r="Q10" s="31"/>
      <c r="R10" s="34">
        <v>118341011</v>
      </c>
      <c r="S10" s="31"/>
      <c r="T10" s="34">
        <v>1066783257</v>
      </c>
      <c r="V10" s="34">
        <v>527940540</v>
      </c>
      <c r="W10" s="33"/>
      <c r="X10" s="34">
        <v>8417538240</v>
      </c>
    </row>
    <row r="11" spans="1:26" s="7" customFormat="1" ht="18" customHeight="1">
      <c r="A11" s="32" t="s">
        <v>160</v>
      </c>
      <c r="B11" s="52"/>
      <c r="C11" s="52"/>
      <c r="D11" s="17"/>
      <c r="E11" s="17"/>
      <c r="F11" s="17"/>
      <c r="G11" s="17"/>
      <c r="H11" s="17"/>
      <c r="I11" s="17"/>
      <c r="J11" s="17"/>
      <c r="K11" s="17"/>
      <c r="L11" s="17"/>
      <c r="M11" s="53"/>
      <c r="N11" s="53"/>
      <c r="O11" s="53"/>
      <c r="P11" s="17"/>
      <c r="Q11" s="17"/>
      <c r="R11" s="17"/>
      <c r="S11" s="17"/>
      <c r="T11" s="17"/>
      <c r="U11" s="17"/>
      <c r="V11" s="18"/>
      <c r="W11" s="17"/>
      <c r="X11" s="17"/>
      <c r="Y11" s="17"/>
      <c r="Z11" s="17"/>
    </row>
    <row r="12" spans="1:26" s="7" customFormat="1" ht="18" customHeight="1">
      <c r="A12" s="32" t="s">
        <v>153</v>
      </c>
      <c r="B12" s="16"/>
      <c r="C12" s="52"/>
      <c r="D12" s="63" t="s">
        <v>78</v>
      </c>
      <c r="E12" s="17"/>
      <c r="F12" s="63" t="s">
        <v>78</v>
      </c>
      <c r="G12" s="64"/>
      <c r="H12" s="63" t="s">
        <v>78</v>
      </c>
      <c r="I12" s="64"/>
      <c r="J12" s="66">
        <v>-224303021</v>
      </c>
      <c r="K12" s="64"/>
      <c r="L12" s="63" t="s">
        <v>78</v>
      </c>
      <c r="M12" s="65"/>
      <c r="N12" s="63" t="s">
        <v>78</v>
      </c>
      <c r="O12" s="65"/>
      <c r="P12" s="63" t="s">
        <v>78</v>
      </c>
      <c r="Q12" s="65"/>
      <c r="R12" s="63" t="s">
        <v>78</v>
      </c>
      <c r="S12" s="65"/>
      <c r="T12" s="63" t="s">
        <v>78</v>
      </c>
      <c r="U12" s="64"/>
      <c r="V12" s="63" t="s">
        <v>78</v>
      </c>
      <c r="W12" s="65"/>
      <c r="X12" s="66">
        <f>SUM(D12:V12)</f>
        <v>-224303021</v>
      </c>
      <c r="Y12" s="17"/>
      <c r="Z12" s="17"/>
    </row>
    <row r="13" spans="1:26" s="32" customFormat="1" ht="18" customHeight="1">
      <c r="A13" s="30" t="s">
        <v>154</v>
      </c>
      <c r="B13" s="30"/>
      <c r="C13" s="30"/>
      <c r="D13" s="64">
        <f>SUM(D10:D12)</f>
        <v>1163410108</v>
      </c>
      <c r="E13" s="64"/>
      <c r="F13" s="64">
        <f>SUM(F10:F12)</f>
        <v>4322607094</v>
      </c>
      <c r="G13" s="64"/>
      <c r="H13" s="64">
        <f>SUM(H10:H12)</f>
        <v>254659742</v>
      </c>
      <c r="I13" s="64"/>
      <c r="J13" s="64">
        <f>SUM(J10:J12)</f>
        <v>739493467</v>
      </c>
      <c r="K13" s="64"/>
      <c r="L13" s="35" t="s">
        <v>78</v>
      </c>
      <c r="M13" s="64"/>
      <c r="N13" s="35" t="s">
        <v>78</v>
      </c>
      <c r="O13" s="64"/>
      <c r="P13" s="35" t="s">
        <v>78</v>
      </c>
      <c r="Q13" s="64"/>
      <c r="R13" s="64">
        <f>SUM(R10:R12)</f>
        <v>118341011</v>
      </c>
      <c r="S13" s="64"/>
      <c r="T13" s="64">
        <f>SUM(T10:T12)</f>
        <v>1066783257</v>
      </c>
      <c r="U13" s="64"/>
      <c r="V13" s="64">
        <f>SUM(V10:V12)</f>
        <v>527940540</v>
      </c>
      <c r="W13" s="64"/>
      <c r="X13" s="64">
        <f>SUM(X10:X12)</f>
        <v>8193235219</v>
      </c>
      <c r="Y13" s="64"/>
      <c r="Z13" s="64"/>
    </row>
    <row r="14" spans="1:24" s="37" customFormat="1" ht="18">
      <c r="A14" s="37" t="s">
        <v>107</v>
      </c>
      <c r="B14" s="40"/>
      <c r="D14" s="35" t="s">
        <v>78</v>
      </c>
      <c r="E14" s="36"/>
      <c r="F14" s="35" t="s">
        <v>78</v>
      </c>
      <c r="G14" s="36"/>
      <c r="H14" s="38">
        <v>424477602</v>
      </c>
      <c r="I14" s="36"/>
      <c r="J14" s="35" t="s">
        <v>78</v>
      </c>
      <c r="L14" s="35" t="s">
        <v>78</v>
      </c>
      <c r="N14" s="35" t="s">
        <v>78</v>
      </c>
      <c r="P14" s="35" t="s">
        <v>78</v>
      </c>
      <c r="R14" s="35" t="s">
        <v>78</v>
      </c>
      <c r="S14" s="36"/>
      <c r="T14" s="35" t="s">
        <v>78</v>
      </c>
      <c r="U14" s="36"/>
      <c r="V14" s="35" t="s">
        <v>78</v>
      </c>
      <c r="W14" s="39"/>
      <c r="X14" s="36">
        <f aca="true" t="shared" si="0" ref="X14:X19">SUM(D14:V14)</f>
        <v>424477602</v>
      </c>
    </row>
    <row r="15" spans="1:24" s="37" customFormat="1" ht="18">
      <c r="A15" s="37" t="s">
        <v>135</v>
      </c>
      <c r="B15" s="40">
        <v>33</v>
      </c>
      <c r="D15" s="35">
        <v>17627692</v>
      </c>
      <c r="E15" s="36"/>
      <c r="F15" s="35" t="s">
        <v>78</v>
      </c>
      <c r="G15" s="36"/>
      <c r="H15" s="35" t="s">
        <v>78</v>
      </c>
      <c r="I15" s="36"/>
      <c r="J15" s="35" t="s">
        <v>78</v>
      </c>
      <c r="L15" s="35" t="s">
        <v>78</v>
      </c>
      <c r="N15" s="35" t="s">
        <v>78</v>
      </c>
      <c r="P15" s="35" t="s">
        <v>78</v>
      </c>
      <c r="R15" s="35" t="s">
        <v>78</v>
      </c>
      <c r="S15" s="36"/>
      <c r="T15" s="35" t="s">
        <v>78</v>
      </c>
      <c r="U15" s="36"/>
      <c r="V15" s="35" t="s">
        <v>78</v>
      </c>
      <c r="W15" s="39"/>
      <c r="X15" s="36">
        <f t="shared" si="0"/>
        <v>17627692</v>
      </c>
    </row>
    <row r="16" spans="1:24" s="37" customFormat="1" ht="18">
      <c r="A16" s="37" t="s">
        <v>136</v>
      </c>
      <c r="B16" s="40">
        <v>33</v>
      </c>
      <c r="D16" s="35" t="s">
        <v>78</v>
      </c>
      <c r="E16" s="36"/>
      <c r="F16" s="38">
        <v>302484263</v>
      </c>
      <c r="G16" s="36"/>
      <c r="H16" s="35" t="s">
        <v>78</v>
      </c>
      <c r="I16" s="36"/>
      <c r="J16" s="35" t="s">
        <v>78</v>
      </c>
      <c r="L16" s="35" t="s">
        <v>78</v>
      </c>
      <c r="N16" s="35" t="s">
        <v>78</v>
      </c>
      <c r="P16" s="35" t="s">
        <v>78</v>
      </c>
      <c r="R16" s="35" t="s">
        <v>78</v>
      </c>
      <c r="S16" s="36"/>
      <c r="T16" s="35" t="s">
        <v>78</v>
      </c>
      <c r="U16" s="36"/>
      <c r="V16" s="35" t="s">
        <v>78</v>
      </c>
      <c r="W16" s="39"/>
      <c r="X16" s="36">
        <f t="shared" si="0"/>
        <v>302484263</v>
      </c>
    </row>
    <row r="17" spans="1:24" s="37" customFormat="1" ht="18">
      <c r="A17" s="37" t="s">
        <v>122</v>
      </c>
      <c r="B17" s="40">
        <v>33</v>
      </c>
      <c r="D17" s="35" t="s">
        <v>78</v>
      </c>
      <c r="E17" s="36"/>
      <c r="F17" s="35" t="s">
        <v>78</v>
      </c>
      <c r="G17" s="36"/>
      <c r="H17" s="35" t="s">
        <v>78</v>
      </c>
      <c r="I17" s="36"/>
      <c r="J17" s="35" t="s">
        <v>78</v>
      </c>
      <c r="L17" s="38">
        <v>305000325</v>
      </c>
      <c r="N17" s="35" t="s">
        <v>78</v>
      </c>
      <c r="P17" s="35" t="s">
        <v>78</v>
      </c>
      <c r="R17" s="35" t="s">
        <v>78</v>
      </c>
      <c r="S17" s="36"/>
      <c r="T17" s="35" t="s">
        <v>78</v>
      </c>
      <c r="U17" s="36"/>
      <c r="V17" s="35" t="s">
        <v>78</v>
      </c>
      <c r="W17" s="36"/>
      <c r="X17" s="36">
        <f t="shared" si="0"/>
        <v>305000325</v>
      </c>
    </row>
    <row r="18" spans="1:24" s="37" customFormat="1" ht="18">
      <c r="A18" s="37" t="s">
        <v>147</v>
      </c>
      <c r="B18" s="40"/>
      <c r="D18" s="35" t="s">
        <v>78</v>
      </c>
      <c r="E18" s="36"/>
      <c r="F18" s="35" t="s">
        <v>78</v>
      </c>
      <c r="G18" s="36"/>
      <c r="H18" s="35" t="s">
        <v>78</v>
      </c>
      <c r="I18" s="36"/>
      <c r="J18" s="35" t="s">
        <v>78</v>
      </c>
      <c r="L18" s="35" t="s">
        <v>78</v>
      </c>
      <c r="N18" s="35">
        <v>-19963214</v>
      </c>
      <c r="P18" s="35" t="s">
        <v>78</v>
      </c>
      <c r="R18" s="35" t="s">
        <v>78</v>
      </c>
      <c r="T18" s="35" t="s">
        <v>78</v>
      </c>
      <c r="U18" s="41"/>
      <c r="V18" s="35" t="s">
        <v>78</v>
      </c>
      <c r="W18" s="41"/>
      <c r="X18" s="36">
        <f t="shared" si="0"/>
        <v>-19963214</v>
      </c>
    </row>
    <row r="19" spans="1:24" s="37" customFormat="1" ht="18">
      <c r="A19" s="37" t="s">
        <v>123</v>
      </c>
      <c r="B19" s="40">
        <v>32</v>
      </c>
      <c r="D19" s="35" t="s">
        <v>78</v>
      </c>
      <c r="E19" s="36"/>
      <c r="F19" s="35" t="s">
        <v>78</v>
      </c>
      <c r="G19" s="36"/>
      <c r="H19" s="35" t="s">
        <v>78</v>
      </c>
      <c r="I19" s="36"/>
      <c r="J19" s="35" t="s">
        <v>78</v>
      </c>
      <c r="L19" s="35" t="s">
        <v>78</v>
      </c>
      <c r="N19" s="35" t="s">
        <v>78</v>
      </c>
      <c r="P19" s="31">
        <v>50062520</v>
      </c>
      <c r="R19" s="35" t="s">
        <v>78</v>
      </c>
      <c r="S19" s="36"/>
      <c r="T19" s="35" t="s">
        <v>78</v>
      </c>
      <c r="U19" s="36"/>
      <c r="V19" s="35" t="s">
        <v>78</v>
      </c>
      <c r="W19" s="36"/>
      <c r="X19" s="36">
        <f t="shared" si="0"/>
        <v>50062520</v>
      </c>
    </row>
    <row r="20" spans="1:24" s="37" customFormat="1" ht="18">
      <c r="A20" s="37" t="s">
        <v>106</v>
      </c>
      <c r="B20" s="40">
        <v>24</v>
      </c>
      <c r="D20" s="35" t="s">
        <v>78</v>
      </c>
      <c r="E20" s="36"/>
      <c r="F20" s="35" t="s">
        <v>78</v>
      </c>
      <c r="G20" s="36"/>
      <c r="H20" s="35" t="s">
        <v>78</v>
      </c>
      <c r="I20" s="36"/>
      <c r="J20" s="35" t="s">
        <v>78</v>
      </c>
      <c r="L20" s="35" t="s">
        <v>78</v>
      </c>
      <c r="N20" s="35" t="s">
        <v>78</v>
      </c>
      <c r="P20" s="35" t="s">
        <v>78</v>
      </c>
      <c r="R20" s="31">
        <v>12885411</v>
      </c>
      <c r="S20" s="36"/>
      <c r="T20" s="35">
        <v>-12885411</v>
      </c>
      <c r="U20" s="36"/>
      <c r="V20" s="35" t="s">
        <v>78</v>
      </c>
      <c r="W20" s="36"/>
      <c r="X20" s="35" t="s">
        <v>78</v>
      </c>
    </row>
    <row r="21" spans="1:24" s="37" customFormat="1" ht="18">
      <c r="A21" s="37" t="s">
        <v>108</v>
      </c>
      <c r="B21" s="40"/>
      <c r="D21" s="35" t="s">
        <v>78</v>
      </c>
      <c r="E21" s="36"/>
      <c r="F21" s="35" t="s">
        <v>78</v>
      </c>
      <c r="G21" s="36"/>
      <c r="H21" s="35" t="s">
        <v>78</v>
      </c>
      <c r="I21" s="36"/>
      <c r="J21" s="35" t="s">
        <v>78</v>
      </c>
      <c r="K21" s="36"/>
      <c r="L21" s="35" t="s">
        <v>78</v>
      </c>
      <c r="M21" s="42"/>
      <c r="N21" s="35" t="s">
        <v>78</v>
      </c>
      <c r="O21" s="42"/>
      <c r="P21" s="35" t="s">
        <v>78</v>
      </c>
      <c r="Q21" s="42"/>
      <c r="R21" s="35" t="s">
        <v>78</v>
      </c>
      <c r="S21" s="36"/>
      <c r="T21" s="38" t="e">
        <f>'BS&amp;PL'!#REF!</f>
        <v>#REF!</v>
      </c>
      <c r="U21" s="36"/>
      <c r="V21" s="35" t="s">
        <v>78</v>
      </c>
      <c r="W21" s="36"/>
      <c r="X21" s="36" t="e">
        <f>SUM(D21:V21)</f>
        <v>#REF!</v>
      </c>
    </row>
    <row r="22" spans="1:24" s="37" customFormat="1" ht="18">
      <c r="A22" s="37" t="s">
        <v>74</v>
      </c>
      <c r="B22" s="40">
        <v>23</v>
      </c>
      <c r="D22" s="35" t="s">
        <v>78</v>
      </c>
      <c r="E22" s="36"/>
      <c r="F22" s="35" t="s">
        <v>78</v>
      </c>
      <c r="G22" s="36"/>
      <c r="H22" s="35" t="s">
        <v>78</v>
      </c>
      <c r="I22" s="36"/>
      <c r="J22" s="35" t="s">
        <v>78</v>
      </c>
      <c r="L22" s="35" t="s">
        <v>78</v>
      </c>
      <c r="N22" s="35" t="s">
        <v>78</v>
      </c>
      <c r="P22" s="35" t="s">
        <v>78</v>
      </c>
      <c r="R22" s="35" t="s">
        <v>78</v>
      </c>
      <c r="S22" s="36"/>
      <c r="T22" s="38">
        <v>-590518900</v>
      </c>
      <c r="U22" s="41"/>
      <c r="V22" s="35" t="s">
        <v>78</v>
      </c>
      <c r="W22" s="41"/>
      <c r="X22" s="36">
        <f>SUM(D22:V22)</f>
        <v>-590518900</v>
      </c>
    </row>
    <row r="23" spans="1:24" s="37" customFormat="1" ht="18">
      <c r="A23" s="37" t="s">
        <v>161</v>
      </c>
      <c r="D23" s="35" t="s">
        <v>78</v>
      </c>
      <c r="E23" s="36"/>
      <c r="F23" s="35" t="s">
        <v>78</v>
      </c>
      <c r="G23" s="36"/>
      <c r="H23" s="35" t="s">
        <v>78</v>
      </c>
      <c r="I23" s="36"/>
      <c r="J23" s="35" t="s">
        <v>78</v>
      </c>
      <c r="L23" s="35" t="s">
        <v>78</v>
      </c>
      <c r="N23" s="35" t="s">
        <v>78</v>
      </c>
      <c r="P23" s="35" t="s">
        <v>78</v>
      </c>
      <c r="R23" s="35" t="s">
        <v>78</v>
      </c>
      <c r="S23" s="36"/>
      <c r="T23" s="35" t="s">
        <v>78</v>
      </c>
      <c r="U23" s="36"/>
      <c r="V23" s="43">
        <v>-20961163</v>
      </c>
      <c r="W23" s="41"/>
      <c r="X23" s="36">
        <f>SUM(D23:V23)</f>
        <v>-20961163</v>
      </c>
    </row>
    <row r="24" spans="1:24" s="37" customFormat="1" ht="18.75" thickBot="1">
      <c r="A24" s="30" t="s">
        <v>119</v>
      </c>
      <c r="B24" s="44"/>
      <c r="C24" s="44"/>
      <c r="D24" s="45">
        <f>SUM(D13:D23)</f>
        <v>1181037800</v>
      </c>
      <c r="E24" s="36"/>
      <c r="F24" s="45">
        <f>SUM(F13:F23)</f>
        <v>4625091357</v>
      </c>
      <c r="G24" s="36"/>
      <c r="H24" s="45">
        <f>SUM(H13:H23)</f>
        <v>679137344</v>
      </c>
      <c r="I24" s="36"/>
      <c r="J24" s="45">
        <f>SUM(J13:J23)</f>
        <v>739493467</v>
      </c>
      <c r="K24" s="36"/>
      <c r="L24" s="45">
        <f>SUM(L13:L23)</f>
        <v>305000325</v>
      </c>
      <c r="N24" s="45">
        <f>SUM(N13:N23)</f>
        <v>-19963214</v>
      </c>
      <c r="P24" s="45">
        <f>SUM(P13:P23)</f>
        <v>50062520</v>
      </c>
      <c r="R24" s="45">
        <f>SUM(R13:R23)</f>
        <v>131226422</v>
      </c>
      <c r="S24" s="36"/>
      <c r="T24" s="45" t="e">
        <f>SUM(T13:T23)</f>
        <v>#REF!</v>
      </c>
      <c r="U24" s="36"/>
      <c r="V24" s="45">
        <f>SUM(V13:V23)</f>
        <v>506979377</v>
      </c>
      <c r="W24" s="39"/>
      <c r="X24" s="45" t="e">
        <f>SUM(X13:X23)</f>
        <v>#REF!</v>
      </c>
    </row>
    <row r="25" spans="1:24" s="37" customFormat="1" ht="18.75" thickTop="1">
      <c r="A25" s="30"/>
      <c r="B25" s="44"/>
      <c r="C25" s="44"/>
      <c r="D25" s="36"/>
      <c r="E25" s="36"/>
      <c r="F25" s="36"/>
      <c r="G25" s="36"/>
      <c r="H25" s="36"/>
      <c r="I25" s="36"/>
      <c r="J25" s="36"/>
      <c r="K25" s="36"/>
      <c r="L25" s="36"/>
      <c r="N25" s="36"/>
      <c r="P25" s="36"/>
      <c r="R25" s="36"/>
      <c r="S25" s="36"/>
      <c r="T25" s="36"/>
      <c r="U25" s="36"/>
      <c r="V25" s="36"/>
      <c r="W25" s="39"/>
      <c r="X25" s="36"/>
    </row>
    <row r="26" spans="1:24" s="37" customFormat="1" ht="18">
      <c r="A26" s="30" t="s">
        <v>167</v>
      </c>
      <c r="B26" s="44"/>
      <c r="C26" s="44"/>
      <c r="D26" s="36">
        <v>1181037800</v>
      </c>
      <c r="E26" s="36"/>
      <c r="F26" s="36">
        <v>4625091357</v>
      </c>
      <c r="G26" s="36"/>
      <c r="H26" s="36">
        <v>679137344</v>
      </c>
      <c r="I26" s="36"/>
      <c r="J26" s="36">
        <v>982615188</v>
      </c>
      <c r="K26" s="36"/>
      <c r="L26" s="36">
        <v>305000325</v>
      </c>
      <c r="N26" s="36">
        <v>-19963214</v>
      </c>
      <c r="P26" s="36">
        <v>50062520</v>
      </c>
      <c r="R26" s="36">
        <v>131226422</v>
      </c>
      <c r="S26" s="36"/>
      <c r="T26" s="36">
        <v>1786066031</v>
      </c>
      <c r="U26" s="36"/>
      <c r="V26" s="36">
        <v>506979377</v>
      </c>
      <c r="W26" s="39"/>
      <c r="X26" s="36">
        <f>SUM(D26:V26)</f>
        <v>10227253150</v>
      </c>
    </row>
    <row r="27" spans="1:24" s="37" customFormat="1" ht="18">
      <c r="A27" s="32" t="s">
        <v>160</v>
      </c>
      <c r="B27" s="44"/>
      <c r="C27" s="44"/>
      <c r="D27" s="36"/>
      <c r="E27" s="36"/>
      <c r="F27" s="36"/>
      <c r="G27" s="36"/>
      <c r="H27" s="36"/>
      <c r="I27" s="36"/>
      <c r="J27" s="36"/>
      <c r="K27" s="36"/>
      <c r="L27" s="36"/>
      <c r="N27" s="36"/>
      <c r="P27" s="36"/>
      <c r="R27" s="36"/>
      <c r="S27" s="36"/>
      <c r="T27" s="36"/>
      <c r="U27" s="36"/>
      <c r="V27" s="36"/>
      <c r="W27" s="39"/>
      <c r="X27" s="36"/>
    </row>
    <row r="28" spans="1:24" s="37" customFormat="1" ht="18.75">
      <c r="A28" s="32" t="s">
        <v>153</v>
      </c>
      <c r="B28" s="44"/>
      <c r="C28" s="44"/>
      <c r="D28" s="63" t="s">
        <v>78</v>
      </c>
      <c r="E28" s="17"/>
      <c r="F28" s="63" t="s">
        <v>78</v>
      </c>
      <c r="G28" s="64"/>
      <c r="H28" s="63" t="s">
        <v>78</v>
      </c>
      <c r="I28" s="64"/>
      <c r="J28" s="66">
        <f>J29-J26</f>
        <v>-243121721</v>
      </c>
      <c r="K28" s="64"/>
      <c r="L28" s="63" t="s">
        <v>78</v>
      </c>
      <c r="M28" s="65"/>
      <c r="N28" s="63" t="s">
        <v>78</v>
      </c>
      <c r="O28" s="65"/>
      <c r="P28" s="63" t="s">
        <v>78</v>
      </c>
      <c r="Q28" s="65"/>
      <c r="R28" s="63" t="s">
        <v>78</v>
      </c>
      <c r="S28" s="65"/>
      <c r="T28" s="63" t="s">
        <v>78</v>
      </c>
      <c r="U28" s="64"/>
      <c r="V28" s="63" t="s">
        <v>78</v>
      </c>
      <c r="W28" s="65"/>
      <c r="X28" s="66">
        <f>SUM(D28:V28)</f>
        <v>-243121721</v>
      </c>
    </row>
    <row r="29" spans="1:24" s="37" customFormat="1" ht="18">
      <c r="A29" s="30" t="s">
        <v>162</v>
      </c>
      <c r="B29" s="44"/>
      <c r="C29" s="44"/>
      <c r="D29" s="36">
        <v>1181037800</v>
      </c>
      <c r="E29" s="36"/>
      <c r="F29" s="36">
        <v>4625091357</v>
      </c>
      <c r="G29" s="36"/>
      <c r="H29" s="36">
        <v>679137344</v>
      </c>
      <c r="I29" s="36"/>
      <c r="J29" s="36">
        <v>739493467</v>
      </c>
      <c r="K29" s="36"/>
      <c r="L29" s="36">
        <v>305000325</v>
      </c>
      <c r="N29" s="36">
        <v>-19963214</v>
      </c>
      <c r="P29" s="36">
        <v>50062520</v>
      </c>
      <c r="R29" s="36">
        <v>131226422</v>
      </c>
      <c r="S29" s="36"/>
      <c r="T29" s="36">
        <v>1786066031</v>
      </c>
      <c r="U29" s="36"/>
      <c r="V29" s="36">
        <v>506979377</v>
      </c>
      <c r="W29" s="39"/>
      <c r="X29" s="36">
        <v>9984131429</v>
      </c>
    </row>
    <row r="30" spans="1:24" s="37" customFormat="1" ht="18">
      <c r="A30" s="37" t="s">
        <v>107</v>
      </c>
      <c r="B30" s="40"/>
      <c r="D30" s="35" t="s">
        <v>78</v>
      </c>
      <c r="E30" s="36"/>
      <c r="F30" s="35" t="s">
        <v>78</v>
      </c>
      <c r="G30" s="36"/>
      <c r="H30" s="38"/>
      <c r="I30" s="36"/>
      <c r="J30" s="35" t="s">
        <v>78</v>
      </c>
      <c r="L30" s="35" t="s">
        <v>78</v>
      </c>
      <c r="N30" s="35" t="s">
        <v>78</v>
      </c>
      <c r="P30" s="35" t="s">
        <v>78</v>
      </c>
      <c r="R30" s="35" t="s">
        <v>78</v>
      </c>
      <c r="S30" s="36"/>
      <c r="T30" s="35" t="s">
        <v>78</v>
      </c>
      <c r="U30" s="36"/>
      <c r="V30" s="35" t="s">
        <v>78</v>
      </c>
      <c r="W30" s="39"/>
      <c r="X30" s="35">
        <f aca="true" t="shared" si="1" ref="X30:X35">SUM(D30:V30)</f>
        <v>0</v>
      </c>
    </row>
    <row r="31" spans="1:24" s="37" customFormat="1" ht="18">
      <c r="A31" s="37" t="s">
        <v>135</v>
      </c>
      <c r="B31" s="40">
        <v>33</v>
      </c>
      <c r="D31" s="35"/>
      <c r="E31" s="36"/>
      <c r="F31" s="35" t="s">
        <v>78</v>
      </c>
      <c r="G31" s="36"/>
      <c r="H31" s="35" t="s">
        <v>78</v>
      </c>
      <c r="I31" s="36"/>
      <c r="J31" s="35" t="s">
        <v>78</v>
      </c>
      <c r="L31" s="35" t="s">
        <v>78</v>
      </c>
      <c r="N31" s="35" t="s">
        <v>78</v>
      </c>
      <c r="P31" s="35" t="s">
        <v>78</v>
      </c>
      <c r="R31" s="35" t="s">
        <v>78</v>
      </c>
      <c r="S31" s="36"/>
      <c r="T31" s="35" t="s">
        <v>78</v>
      </c>
      <c r="U31" s="36"/>
      <c r="V31" s="35" t="s">
        <v>78</v>
      </c>
      <c r="W31" s="39"/>
      <c r="X31" s="35">
        <f t="shared" si="1"/>
        <v>0</v>
      </c>
    </row>
    <row r="32" spans="1:24" s="37" customFormat="1" ht="18">
      <c r="A32" s="37" t="s">
        <v>136</v>
      </c>
      <c r="B32" s="40">
        <v>33</v>
      </c>
      <c r="D32" s="35" t="s">
        <v>78</v>
      </c>
      <c r="E32" s="36"/>
      <c r="F32" s="38"/>
      <c r="G32" s="36"/>
      <c r="H32" s="35" t="s">
        <v>78</v>
      </c>
      <c r="I32" s="36"/>
      <c r="J32" s="35" t="s">
        <v>78</v>
      </c>
      <c r="L32" s="35" t="s">
        <v>78</v>
      </c>
      <c r="N32" s="35" t="s">
        <v>78</v>
      </c>
      <c r="P32" s="35" t="s">
        <v>78</v>
      </c>
      <c r="R32" s="35" t="s">
        <v>78</v>
      </c>
      <c r="S32" s="36"/>
      <c r="T32" s="35" t="s">
        <v>78</v>
      </c>
      <c r="U32" s="36"/>
      <c r="V32" s="35" t="s">
        <v>78</v>
      </c>
      <c r="W32" s="39"/>
      <c r="X32" s="35">
        <f t="shared" si="1"/>
        <v>0</v>
      </c>
    </row>
    <row r="33" spans="1:24" s="37" customFormat="1" ht="18">
      <c r="A33" s="37" t="s">
        <v>147</v>
      </c>
      <c r="B33" s="40"/>
      <c r="D33" s="35" t="s">
        <v>78</v>
      </c>
      <c r="E33" s="36"/>
      <c r="F33" s="35" t="s">
        <v>78</v>
      </c>
      <c r="G33" s="36"/>
      <c r="H33" s="35" t="s">
        <v>78</v>
      </c>
      <c r="I33" s="36"/>
      <c r="J33" s="35" t="s">
        <v>78</v>
      </c>
      <c r="L33" s="35" t="s">
        <v>78</v>
      </c>
      <c r="N33" s="35"/>
      <c r="P33" s="35" t="s">
        <v>78</v>
      </c>
      <c r="R33" s="35" t="s">
        <v>78</v>
      </c>
      <c r="T33" s="35" t="s">
        <v>78</v>
      </c>
      <c r="U33" s="41"/>
      <c r="V33" s="35" t="s">
        <v>78</v>
      </c>
      <c r="W33" s="41"/>
      <c r="X33" s="35">
        <f t="shared" si="1"/>
        <v>0</v>
      </c>
    </row>
    <row r="34" spans="1:24" s="37" customFormat="1" ht="18">
      <c r="A34" s="37" t="s">
        <v>155</v>
      </c>
      <c r="B34" s="40">
        <v>32</v>
      </c>
      <c r="D34" s="35" t="s">
        <v>78</v>
      </c>
      <c r="E34" s="36"/>
      <c r="F34" s="35" t="s">
        <v>78</v>
      </c>
      <c r="G34" s="36"/>
      <c r="H34" s="35" t="s">
        <v>78</v>
      </c>
      <c r="I34" s="36"/>
      <c r="J34" s="35" t="s">
        <v>78</v>
      </c>
      <c r="L34" s="35" t="s">
        <v>78</v>
      </c>
      <c r="N34" s="35" t="s">
        <v>78</v>
      </c>
      <c r="P34" s="31"/>
      <c r="R34" s="35" t="s">
        <v>78</v>
      </c>
      <c r="S34" s="36"/>
      <c r="T34" s="35" t="s">
        <v>78</v>
      </c>
      <c r="U34" s="36"/>
      <c r="V34" s="35" t="s">
        <v>78</v>
      </c>
      <c r="W34" s="36"/>
      <c r="X34" s="35">
        <f t="shared" si="1"/>
        <v>0</v>
      </c>
    </row>
    <row r="35" spans="1:24" s="37" customFormat="1" ht="18">
      <c r="A35" s="37" t="s">
        <v>165</v>
      </c>
      <c r="B35" s="40">
        <v>17</v>
      </c>
      <c r="D35" s="35" t="s">
        <v>78</v>
      </c>
      <c r="E35" s="36"/>
      <c r="F35" s="35" t="s">
        <v>78</v>
      </c>
      <c r="G35" s="36"/>
      <c r="H35" s="35" t="s">
        <v>78</v>
      </c>
      <c r="I35" s="36"/>
      <c r="J35" s="35"/>
      <c r="L35" s="35" t="s">
        <v>78</v>
      </c>
      <c r="N35" s="35" t="s">
        <v>78</v>
      </c>
      <c r="P35" s="35" t="s">
        <v>78</v>
      </c>
      <c r="R35" s="35" t="s">
        <v>78</v>
      </c>
      <c r="S35" s="36"/>
      <c r="T35" s="35" t="s">
        <v>78</v>
      </c>
      <c r="U35" s="36"/>
      <c r="V35" s="35"/>
      <c r="W35" s="36"/>
      <c r="X35" s="35">
        <f t="shared" si="1"/>
        <v>0</v>
      </c>
    </row>
    <row r="36" spans="1:24" s="37" customFormat="1" ht="18">
      <c r="A36" s="37" t="s">
        <v>106</v>
      </c>
      <c r="B36" s="40">
        <v>24</v>
      </c>
      <c r="D36" s="35" t="s">
        <v>78</v>
      </c>
      <c r="E36" s="36"/>
      <c r="F36" s="35" t="s">
        <v>78</v>
      </c>
      <c r="G36" s="36"/>
      <c r="H36" s="35" t="s">
        <v>78</v>
      </c>
      <c r="I36" s="36"/>
      <c r="J36" s="35" t="s">
        <v>78</v>
      </c>
      <c r="L36" s="35" t="s">
        <v>78</v>
      </c>
      <c r="N36" s="35" t="s">
        <v>78</v>
      </c>
      <c r="P36" s="35" t="s">
        <v>78</v>
      </c>
      <c r="R36" s="31"/>
      <c r="S36" s="36"/>
      <c r="T36" s="35"/>
      <c r="U36" s="36"/>
      <c r="V36" s="35" t="s">
        <v>78</v>
      </c>
      <c r="W36" s="36"/>
      <c r="X36" s="35" t="s">
        <v>78</v>
      </c>
    </row>
    <row r="37" spans="1:24" s="37" customFormat="1" ht="18">
      <c r="A37" s="37" t="s">
        <v>108</v>
      </c>
      <c r="B37" s="40"/>
      <c r="D37" s="35" t="s">
        <v>78</v>
      </c>
      <c r="E37" s="36"/>
      <c r="F37" s="35" t="s">
        <v>78</v>
      </c>
      <c r="G37" s="36"/>
      <c r="H37" s="35" t="s">
        <v>78</v>
      </c>
      <c r="I37" s="36"/>
      <c r="J37" s="35" t="s">
        <v>78</v>
      </c>
      <c r="K37" s="36"/>
      <c r="L37" s="35" t="s">
        <v>78</v>
      </c>
      <c r="M37" s="42"/>
      <c r="N37" s="35" t="s">
        <v>78</v>
      </c>
      <c r="O37" s="42"/>
      <c r="P37" s="35" t="s">
        <v>78</v>
      </c>
      <c r="Q37" s="42"/>
      <c r="R37" s="35" t="s">
        <v>78</v>
      </c>
      <c r="S37" s="36"/>
      <c r="T37" s="36" t="e">
        <f>'BS&amp;PL'!#REF!</f>
        <v>#REF!</v>
      </c>
      <c r="U37" s="36"/>
      <c r="V37" s="35" t="e">
        <f>-'BS&amp;PL'!#REF!</f>
        <v>#REF!</v>
      </c>
      <c r="W37" s="36"/>
      <c r="X37" s="36" t="e">
        <f>SUM(D37:V37)</f>
        <v>#REF!</v>
      </c>
    </row>
    <row r="38" spans="1:24" s="37" customFormat="1" ht="18">
      <c r="A38" s="37" t="s">
        <v>74</v>
      </c>
      <c r="B38" s="40">
        <v>23</v>
      </c>
      <c r="D38" s="35" t="s">
        <v>78</v>
      </c>
      <c r="E38" s="36"/>
      <c r="F38" s="35" t="s">
        <v>78</v>
      </c>
      <c r="G38" s="36"/>
      <c r="H38" s="35" t="s">
        <v>78</v>
      </c>
      <c r="I38" s="36"/>
      <c r="J38" s="35" t="s">
        <v>78</v>
      </c>
      <c r="L38" s="35" t="s">
        <v>78</v>
      </c>
      <c r="N38" s="35" t="s">
        <v>78</v>
      </c>
      <c r="P38" s="35" t="s">
        <v>78</v>
      </c>
      <c r="R38" s="35" t="s">
        <v>78</v>
      </c>
      <c r="S38" s="36"/>
      <c r="T38" s="38"/>
      <c r="U38" s="41"/>
      <c r="V38" s="36"/>
      <c r="W38" s="41"/>
      <c r="X38" s="36">
        <f>SUM(D38:V38)</f>
        <v>0</v>
      </c>
    </row>
    <row r="39" spans="1:24" s="37" customFormat="1" ht="18">
      <c r="A39" s="37" t="s">
        <v>47</v>
      </c>
      <c r="D39" s="35" t="s">
        <v>78</v>
      </c>
      <c r="E39" s="36"/>
      <c r="F39" s="35" t="s">
        <v>78</v>
      </c>
      <c r="G39" s="36"/>
      <c r="H39" s="35" t="s">
        <v>78</v>
      </c>
      <c r="I39" s="36"/>
      <c r="J39" s="35" t="s">
        <v>78</v>
      </c>
      <c r="L39" s="35" t="s">
        <v>78</v>
      </c>
      <c r="N39" s="35" t="s">
        <v>78</v>
      </c>
      <c r="P39" s="35" t="s">
        <v>78</v>
      </c>
      <c r="R39" s="35" t="s">
        <v>78</v>
      </c>
      <c r="S39" s="36"/>
      <c r="T39" s="35" t="s">
        <v>78</v>
      </c>
      <c r="U39" s="36"/>
      <c r="V39" s="43"/>
      <c r="W39" s="41"/>
      <c r="X39" s="36">
        <f>SUM(D39:V39)</f>
        <v>0</v>
      </c>
    </row>
    <row r="40" spans="1:24" s="37" customFormat="1" ht="18.75" thickBot="1">
      <c r="A40" s="30" t="s">
        <v>150</v>
      </c>
      <c r="B40" s="44"/>
      <c r="C40" s="44"/>
      <c r="D40" s="45">
        <f>SUM(D29:D39)</f>
        <v>1181037800</v>
      </c>
      <c r="E40" s="36"/>
      <c r="F40" s="45">
        <f>SUM(F29:F39)</f>
        <v>4625091357</v>
      </c>
      <c r="G40" s="36"/>
      <c r="H40" s="45">
        <f>SUM(H29:H39)</f>
        <v>679137344</v>
      </c>
      <c r="I40" s="36"/>
      <c r="J40" s="45">
        <f>SUM(J29:J39)</f>
        <v>739493467</v>
      </c>
      <c r="K40" s="36"/>
      <c r="L40" s="45">
        <f>SUM(L29:L39)</f>
        <v>305000325</v>
      </c>
      <c r="N40" s="45">
        <f>SUM(N29:N39)</f>
        <v>-19963214</v>
      </c>
      <c r="P40" s="45">
        <f>SUM(P29:P39)</f>
        <v>50062520</v>
      </c>
      <c r="R40" s="45">
        <f>SUM(R29:R39)</f>
        <v>131226422</v>
      </c>
      <c r="S40" s="36"/>
      <c r="T40" s="45" t="e">
        <f>SUM(T29:T39)</f>
        <v>#REF!</v>
      </c>
      <c r="U40" s="36"/>
      <c r="V40" s="45" t="e">
        <f>SUM(V29:V39)</f>
        <v>#REF!</v>
      </c>
      <c r="W40" s="39"/>
      <c r="X40" s="45" t="e">
        <f>SUM(X29:X39)</f>
        <v>#REF!</v>
      </c>
    </row>
    <row r="41" spans="2:25" ht="18.75" thickTop="1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25"/>
    </row>
    <row r="42" spans="1:25" ht="18">
      <c r="A42" s="47" t="s">
        <v>51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M42" s="46"/>
      <c r="N42" s="46"/>
      <c r="O42" s="46"/>
      <c r="P42" s="46"/>
      <c r="Q42" s="46"/>
      <c r="R42" s="46"/>
      <c r="S42" s="46"/>
      <c r="U42" s="46"/>
      <c r="W42" s="46"/>
      <c r="X42" s="46"/>
      <c r="Y42" s="25"/>
    </row>
    <row r="43" spans="1:25" ht="18">
      <c r="A43" s="158" t="s">
        <v>109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25"/>
    </row>
    <row r="44" spans="1:24" ht="18">
      <c r="A44" s="159" t="s">
        <v>53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</row>
    <row r="45" spans="1:24" ht="18">
      <c r="A45" s="159" t="s">
        <v>117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</row>
    <row r="46" spans="1:24" ht="18">
      <c r="A46" s="159" t="s">
        <v>149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</row>
    <row r="47" spans="5:24" s="25" customFormat="1" ht="18">
      <c r="E47" s="26"/>
      <c r="X47" s="27" t="s">
        <v>81</v>
      </c>
    </row>
    <row r="48" spans="2:24" s="24" customFormat="1" ht="18">
      <c r="B48" s="26"/>
      <c r="C48" s="26"/>
      <c r="E48" s="25"/>
      <c r="G48" s="25"/>
      <c r="H48" s="25"/>
      <c r="I48" s="25"/>
      <c r="J48" s="157" t="s">
        <v>157</v>
      </c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</row>
    <row r="49" spans="6:24" s="24" customFormat="1" ht="18">
      <c r="F49" s="26"/>
      <c r="G49" s="26"/>
      <c r="J49" s="26"/>
      <c r="K49" s="26"/>
      <c r="L49" s="156" t="s">
        <v>49</v>
      </c>
      <c r="M49" s="156"/>
      <c r="N49" s="156"/>
      <c r="O49" s="156"/>
      <c r="P49" s="156"/>
      <c r="Q49" s="59"/>
      <c r="R49" s="24" t="s">
        <v>124</v>
      </c>
      <c r="S49" s="26"/>
      <c r="T49" s="156" t="s">
        <v>65</v>
      </c>
      <c r="U49" s="156"/>
      <c r="V49" s="156"/>
      <c r="W49" s="26"/>
      <c r="X49" s="26"/>
    </row>
    <row r="50" spans="4:20" s="24" customFormat="1" ht="18">
      <c r="D50" s="26"/>
      <c r="E50" s="26"/>
      <c r="F50" s="26"/>
      <c r="J50" s="24" t="s">
        <v>12</v>
      </c>
      <c r="N50" s="24" t="s">
        <v>113</v>
      </c>
      <c r="P50" s="24" t="s">
        <v>49</v>
      </c>
      <c r="R50" s="24" t="s">
        <v>126</v>
      </c>
      <c r="T50" s="24" t="s">
        <v>127</v>
      </c>
    </row>
    <row r="51" spans="4:20" s="24" customFormat="1" ht="18">
      <c r="D51" s="26"/>
      <c r="E51" s="26"/>
      <c r="F51" s="26"/>
      <c r="J51" s="24" t="s">
        <v>34</v>
      </c>
      <c r="L51" s="24" t="s">
        <v>128</v>
      </c>
      <c r="N51" s="24" t="s">
        <v>114</v>
      </c>
      <c r="P51" s="24" t="s">
        <v>129</v>
      </c>
      <c r="R51" s="24" t="s">
        <v>131</v>
      </c>
      <c r="T51" s="24" t="s">
        <v>80</v>
      </c>
    </row>
    <row r="52" spans="4:24" s="24" customFormat="1" ht="18">
      <c r="D52" s="54"/>
      <c r="E52" s="26"/>
      <c r="F52" s="26"/>
      <c r="H52" s="29" t="s">
        <v>33</v>
      </c>
      <c r="J52" s="28" t="s">
        <v>35</v>
      </c>
      <c r="L52" s="28" t="s">
        <v>132</v>
      </c>
      <c r="N52" s="28" t="s">
        <v>105</v>
      </c>
      <c r="P52" s="28" t="s">
        <v>166</v>
      </c>
      <c r="Q52" s="26"/>
      <c r="R52" s="28" t="s">
        <v>134</v>
      </c>
      <c r="T52" s="28" t="s">
        <v>79</v>
      </c>
      <c r="U52" s="26"/>
      <c r="V52" s="28" t="s">
        <v>26</v>
      </c>
      <c r="X52" s="28" t="s">
        <v>28</v>
      </c>
    </row>
    <row r="53" spans="1:24" s="32" customFormat="1" ht="18">
      <c r="A53" s="30" t="s">
        <v>151</v>
      </c>
      <c r="D53" s="55"/>
      <c r="E53" s="56"/>
      <c r="F53" s="31"/>
      <c r="G53" s="31"/>
      <c r="H53" s="51"/>
      <c r="J53" s="34">
        <v>1163410108</v>
      </c>
      <c r="K53" s="31"/>
      <c r="L53" s="34">
        <v>4322607094</v>
      </c>
      <c r="M53" s="31"/>
      <c r="N53" s="34">
        <v>254659742</v>
      </c>
      <c r="O53" s="31"/>
      <c r="P53" s="34">
        <v>963796488</v>
      </c>
      <c r="R53" s="48" t="s">
        <v>78</v>
      </c>
      <c r="T53" s="34">
        <v>118341011</v>
      </c>
      <c r="U53" s="31"/>
      <c r="V53" s="34">
        <v>1066783257</v>
      </c>
      <c r="X53" s="34">
        <f>SUM(J53:V53)</f>
        <v>7889597700</v>
      </c>
    </row>
    <row r="54" spans="1:24" s="7" customFormat="1" ht="18" customHeight="1">
      <c r="A54" s="32" t="s">
        <v>152</v>
      </c>
      <c r="B54" s="52"/>
      <c r="C54" s="52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53"/>
      <c r="R54" s="17"/>
      <c r="S54" s="17"/>
      <c r="T54" s="17"/>
      <c r="U54" s="17"/>
      <c r="V54" s="18"/>
      <c r="W54" s="17"/>
      <c r="X54" s="17"/>
    </row>
    <row r="55" spans="1:24" s="7" customFormat="1" ht="18" customHeight="1">
      <c r="A55" s="32" t="s">
        <v>159</v>
      </c>
      <c r="B55" s="16"/>
      <c r="C55" s="52"/>
      <c r="D55" s="18"/>
      <c r="E55" s="17"/>
      <c r="F55" s="18"/>
      <c r="G55" s="17"/>
      <c r="H55" s="18"/>
      <c r="I55" s="17"/>
      <c r="J55" s="63" t="s">
        <v>78</v>
      </c>
      <c r="K55" s="64"/>
      <c r="L55" s="63" t="s">
        <v>78</v>
      </c>
      <c r="M55" s="64"/>
      <c r="N55" s="63" t="s">
        <v>78</v>
      </c>
      <c r="O55" s="64"/>
      <c r="P55" s="66">
        <v>-536673526</v>
      </c>
      <c r="Q55" s="65"/>
      <c r="R55" s="63" t="s">
        <v>78</v>
      </c>
      <c r="S55" s="65"/>
      <c r="T55" s="63" t="s">
        <v>78</v>
      </c>
      <c r="U55" s="64"/>
      <c r="V55" s="66">
        <f>-528932992+1977911</f>
        <v>-526955081</v>
      </c>
      <c r="W55" s="65"/>
      <c r="X55" s="60">
        <f>SUM(J55:V55)</f>
        <v>-1063628607</v>
      </c>
    </row>
    <row r="56" spans="1:24" s="7" customFormat="1" ht="18" customHeight="1">
      <c r="A56" s="30" t="s">
        <v>154</v>
      </c>
      <c r="B56" s="52"/>
      <c r="C56" s="52"/>
      <c r="D56" s="17"/>
      <c r="E56" s="17"/>
      <c r="F56" s="17"/>
      <c r="G56" s="17"/>
      <c r="H56" s="17"/>
      <c r="I56" s="17"/>
      <c r="J56" s="64">
        <f>SUM(J53:J55)</f>
        <v>1163410108</v>
      </c>
      <c r="K56" s="64"/>
      <c r="L56" s="64">
        <f>SUM(L53:L55)</f>
        <v>4322607094</v>
      </c>
      <c r="M56" s="64"/>
      <c r="N56" s="64">
        <f>SUM(N53:N55)</f>
        <v>254659742</v>
      </c>
      <c r="O56" s="64"/>
      <c r="P56" s="64">
        <f>SUM(P53:P55)</f>
        <v>427122962</v>
      </c>
      <c r="Q56" s="64"/>
      <c r="R56" s="35" t="s">
        <v>78</v>
      </c>
      <c r="S56" s="64"/>
      <c r="T56" s="64">
        <f>SUM(T53:T55)</f>
        <v>118341011</v>
      </c>
      <c r="U56" s="64"/>
      <c r="V56" s="64">
        <f>SUM(V53:V55)</f>
        <v>539828176</v>
      </c>
      <c r="W56" s="64"/>
      <c r="X56" s="64">
        <f>SUM(X53:X55)</f>
        <v>6825969093</v>
      </c>
    </row>
    <row r="57" spans="1:24" s="37" customFormat="1" ht="18">
      <c r="A57" s="37" t="s">
        <v>107</v>
      </c>
      <c r="D57" s="57"/>
      <c r="E57" s="36"/>
      <c r="F57" s="35"/>
      <c r="G57" s="36"/>
      <c r="I57" s="36"/>
      <c r="J57" s="35" t="s">
        <v>78</v>
      </c>
      <c r="K57" s="36"/>
      <c r="L57" s="35" t="s">
        <v>78</v>
      </c>
      <c r="M57" s="36"/>
      <c r="N57" s="38">
        <v>424477602</v>
      </c>
      <c r="O57" s="36"/>
      <c r="P57" s="35" t="s">
        <v>78</v>
      </c>
      <c r="R57" s="35" t="s">
        <v>78</v>
      </c>
      <c r="T57" s="35" t="s">
        <v>78</v>
      </c>
      <c r="U57" s="36"/>
      <c r="V57" s="35" t="s">
        <v>78</v>
      </c>
      <c r="X57" s="31">
        <f aca="true" t="shared" si="2" ref="X57:X63">SUM(J57:V57)</f>
        <v>424477602</v>
      </c>
    </row>
    <row r="58" spans="1:24" s="37" customFormat="1" ht="18">
      <c r="A58" s="37" t="s">
        <v>135</v>
      </c>
      <c r="D58" s="58"/>
      <c r="E58" s="36"/>
      <c r="F58" s="35"/>
      <c r="G58" s="36"/>
      <c r="H58" s="40">
        <v>33</v>
      </c>
      <c r="I58" s="36"/>
      <c r="J58" s="35">
        <v>17627692</v>
      </c>
      <c r="K58" s="36"/>
      <c r="L58" s="35" t="s">
        <v>78</v>
      </c>
      <c r="M58" s="36"/>
      <c r="N58" s="35" t="s">
        <v>78</v>
      </c>
      <c r="O58" s="36"/>
      <c r="P58" s="35" t="s">
        <v>78</v>
      </c>
      <c r="R58" s="35" t="s">
        <v>78</v>
      </c>
      <c r="T58" s="35" t="s">
        <v>78</v>
      </c>
      <c r="U58" s="36"/>
      <c r="V58" s="35" t="s">
        <v>78</v>
      </c>
      <c r="X58" s="31">
        <f t="shared" si="2"/>
        <v>17627692</v>
      </c>
    </row>
    <row r="59" spans="1:24" s="37" customFormat="1" ht="18">
      <c r="A59" s="37" t="s">
        <v>136</v>
      </c>
      <c r="D59" s="58"/>
      <c r="E59" s="36"/>
      <c r="F59" s="35"/>
      <c r="G59" s="36"/>
      <c r="H59" s="40">
        <v>33</v>
      </c>
      <c r="I59" s="36"/>
      <c r="J59" s="35" t="s">
        <v>78</v>
      </c>
      <c r="K59" s="36"/>
      <c r="L59" s="38">
        <v>239560335</v>
      </c>
      <c r="M59" s="36"/>
      <c r="N59" s="35" t="s">
        <v>78</v>
      </c>
      <c r="O59" s="36"/>
      <c r="P59" s="35" t="s">
        <v>78</v>
      </c>
      <c r="R59" s="35" t="s">
        <v>78</v>
      </c>
      <c r="T59" s="35" t="s">
        <v>78</v>
      </c>
      <c r="U59" s="36"/>
      <c r="V59" s="35" t="s">
        <v>78</v>
      </c>
      <c r="X59" s="31">
        <f t="shared" si="2"/>
        <v>239560335</v>
      </c>
    </row>
    <row r="60" spans="1:24" s="37" customFormat="1" ht="18">
      <c r="A60" s="37" t="s">
        <v>123</v>
      </c>
      <c r="D60" s="58"/>
      <c r="E60" s="57"/>
      <c r="F60" s="35"/>
      <c r="G60" s="36"/>
      <c r="H60" s="40">
        <v>32</v>
      </c>
      <c r="J60" s="35" t="s">
        <v>78</v>
      </c>
      <c r="K60" s="36"/>
      <c r="L60" s="35" t="s">
        <v>78</v>
      </c>
      <c r="M60" s="36"/>
      <c r="N60" s="35" t="s">
        <v>78</v>
      </c>
      <c r="O60" s="36"/>
      <c r="P60" s="35" t="s">
        <v>78</v>
      </c>
      <c r="R60" s="31">
        <v>50062520</v>
      </c>
      <c r="T60" s="35" t="s">
        <v>78</v>
      </c>
      <c r="U60" s="36"/>
      <c r="V60" s="35" t="s">
        <v>78</v>
      </c>
      <c r="X60" s="31">
        <f t="shared" si="2"/>
        <v>50062520</v>
      </c>
    </row>
    <row r="61" spans="1:24" s="37" customFormat="1" ht="18">
      <c r="A61" s="37" t="s">
        <v>106</v>
      </c>
      <c r="D61" s="58"/>
      <c r="E61" s="57"/>
      <c r="F61" s="35"/>
      <c r="G61" s="36"/>
      <c r="H61" s="40">
        <v>24</v>
      </c>
      <c r="J61" s="35" t="s">
        <v>78</v>
      </c>
      <c r="K61" s="36"/>
      <c r="L61" s="35" t="s">
        <v>78</v>
      </c>
      <c r="M61" s="36"/>
      <c r="N61" s="35" t="s">
        <v>78</v>
      </c>
      <c r="O61" s="36"/>
      <c r="P61" s="35" t="s">
        <v>78</v>
      </c>
      <c r="R61" s="35" t="s">
        <v>78</v>
      </c>
      <c r="T61" s="35">
        <v>12885411</v>
      </c>
      <c r="U61" s="36"/>
      <c r="V61" s="35">
        <v>-12885411</v>
      </c>
      <c r="X61" s="31">
        <f t="shared" si="2"/>
        <v>0</v>
      </c>
    </row>
    <row r="62" spans="1:24" s="37" customFormat="1" ht="18">
      <c r="A62" s="37" t="s">
        <v>156</v>
      </c>
      <c r="D62" s="49"/>
      <c r="E62" s="39"/>
      <c r="F62" s="35"/>
      <c r="G62" s="39"/>
      <c r="H62" s="49"/>
      <c r="I62" s="39"/>
      <c r="J62" s="35" t="s">
        <v>78</v>
      </c>
      <c r="K62" s="39"/>
      <c r="L62" s="35" t="s">
        <v>78</v>
      </c>
      <c r="M62" s="41"/>
      <c r="N62" s="35" t="s">
        <v>78</v>
      </c>
      <c r="O62" s="41"/>
      <c r="P62" s="35" t="s">
        <v>78</v>
      </c>
      <c r="R62" s="35" t="s">
        <v>78</v>
      </c>
      <c r="T62" s="35" t="s">
        <v>78</v>
      </c>
      <c r="U62" s="41"/>
      <c r="V62" s="38" t="e">
        <f>'BS&amp;PL'!#REF!</f>
        <v>#REF!</v>
      </c>
      <c r="X62" s="31" t="e">
        <f t="shared" si="2"/>
        <v>#REF!</v>
      </c>
    </row>
    <row r="63" spans="1:24" s="37" customFormat="1" ht="18">
      <c r="A63" s="37" t="s">
        <v>137</v>
      </c>
      <c r="D63" s="58"/>
      <c r="E63" s="36"/>
      <c r="F63" s="35"/>
      <c r="G63" s="36"/>
      <c r="H63" s="40">
        <v>23</v>
      </c>
      <c r="I63" s="36"/>
      <c r="J63" s="61" t="s">
        <v>78</v>
      </c>
      <c r="K63" s="36"/>
      <c r="L63" s="61" t="s">
        <v>78</v>
      </c>
      <c r="M63" s="36"/>
      <c r="N63" s="61" t="s">
        <v>78</v>
      </c>
      <c r="O63" s="36"/>
      <c r="P63" s="61" t="s">
        <v>78</v>
      </c>
      <c r="R63" s="61" t="s">
        <v>78</v>
      </c>
      <c r="T63" s="61" t="s">
        <v>78</v>
      </c>
      <c r="U63" s="36"/>
      <c r="V63" s="62">
        <v>-590518900</v>
      </c>
      <c r="X63" s="60">
        <f t="shared" si="2"/>
        <v>-590518900</v>
      </c>
    </row>
    <row r="64" spans="1:24" s="37" customFormat="1" ht="18">
      <c r="A64" s="30" t="s">
        <v>162</v>
      </c>
      <c r="D64" s="36"/>
      <c r="E64" s="36"/>
      <c r="F64" s="36"/>
      <c r="G64" s="36"/>
      <c r="H64" s="36"/>
      <c r="I64" s="36"/>
      <c r="J64" s="36">
        <f>SUM(J56:J63)</f>
        <v>1181037800</v>
      </c>
      <c r="K64" s="36"/>
      <c r="L64" s="36">
        <f>SUM(L56:L63)</f>
        <v>4562167429</v>
      </c>
      <c r="M64" s="36"/>
      <c r="N64" s="36">
        <f>SUM(N56:N63)</f>
        <v>679137344</v>
      </c>
      <c r="O64" s="36"/>
      <c r="P64" s="36">
        <f>SUM(P56:P63)</f>
        <v>427122962</v>
      </c>
      <c r="R64" s="36">
        <f>SUM(R56:R63)</f>
        <v>50062520</v>
      </c>
      <c r="T64" s="36">
        <f>SUM(T56:T63)</f>
        <v>131226422</v>
      </c>
      <c r="U64" s="36"/>
      <c r="V64" s="36" t="e">
        <f>SUM(V56:V63)</f>
        <v>#REF!</v>
      </c>
      <c r="X64" s="36" t="e">
        <f>SUM(X56:X63)</f>
        <v>#REF!</v>
      </c>
    </row>
    <row r="65" spans="1:24" s="37" customFormat="1" ht="18">
      <c r="A65" s="30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R65" s="36"/>
      <c r="T65" s="36"/>
      <c r="U65" s="36"/>
      <c r="V65" s="36"/>
      <c r="X65" s="36"/>
    </row>
    <row r="66" spans="1:24" s="37" customFormat="1" ht="18">
      <c r="A66" s="30" t="s">
        <v>167</v>
      </c>
      <c r="D66" s="36"/>
      <c r="E66" s="36"/>
      <c r="F66" s="36"/>
      <c r="G66" s="36"/>
      <c r="H66" s="36"/>
      <c r="I66" s="36"/>
      <c r="J66" s="36">
        <v>1181037800</v>
      </c>
      <c r="K66" s="36"/>
      <c r="L66" s="36">
        <v>4562167429</v>
      </c>
      <c r="M66" s="36"/>
      <c r="N66" s="36">
        <v>679137344</v>
      </c>
      <c r="O66" s="36"/>
      <c r="P66" s="36">
        <v>982615188</v>
      </c>
      <c r="R66" s="36">
        <v>50062520</v>
      </c>
      <c r="T66" s="36">
        <v>131226422</v>
      </c>
      <c r="U66" s="36"/>
      <c r="V66" s="36">
        <v>1060240466</v>
      </c>
      <c r="X66" s="36">
        <f>SUM(J66:V66)</f>
        <v>8646487169</v>
      </c>
    </row>
    <row r="67" spans="1:24" s="37" customFormat="1" ht="18">
      <c r="A67" s="32" t="s">
        <v>152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R67" s="36"/>
      <c r="T67" s="36"/>
      <c r="U67" s="36"/>
      <c r="V67" s="36"/>
      <c r="X67" s="36"/>
    </row>
    <row r="68" spans="1:24" s="7" customFormat="1" ht="18" customHeight="1">
      <c r="A68" s="32" t="s">
        <v>159</v>
      </c>
      <c r="B68" s="16"/>
      <c r="C68" s="52"/>
      <c r="D68" s="18"/>
      <c r="E68" s="17"/>
      <c r="F68" s="18"/>
      <c r="G68" s="17"/>
      <c r="H68" s="18"/>
      <c r="I68" s="17"/>
      <c r="J68" s="63" t="s">
        <v>78</v>
      </c>
      <c r="K68" s="64"/>
      <c r="L68" s="63" t="s">
        <v>78</v>
      </c>
      <c r="M68" s="64"/>
      <c r="N68" s="63" t="s">
        <v>78</v>
      </c>
      <c r="O68" s="64"/>
      <c r="P68" s="66">
        <v>-536673526</v>
      </c>
      <c r="Q68" s="65"/>
      <c r="R68" s="63" t="s">
        <v>78</v>
      </c>
      <c r="S68" s="65"/>
      <c r="T68" s="63" t="s">
        <v>78</v>
      </c>
      <c r="U68" s="64"/>
      <c r="V68" s="66">
        <f>-528932992+1977911</f>
        <v>-526955081</v>
      </c>
      <c r="W68" s="65"/>
      <c r="X68" s="60">
        <f>SUM(J68:V68)</f>
        <v>-1063628607</v>
      </c>
    </row>
    <row r="69" spans="1:24" s="37" customFormat="1" ht="18">
      <c r="A69" s="30" t="s">
        <v>162</v>
      </c>
      <c r="D69" s="36"/>
      <c r="E69" s="36"/>
      <c r="F69" s="36"/>
      <c r="G69" s="36"/>
      <c r="H69" s="36"/>
      <c r="I69" s="36"/>
      <c r="J69" s="36">
        <v>1181037800</v>
      </c>
      <c r="K69" s="36"/>
      <c r="L69" s="36">
        <v>4562167429</v>
      </c>
      <c r="M69" s="36"/>
      <c r="N69" s="36">
        <v>679137344</v>
      </c>
      <c r="O69" s="36"/>
      <c r="P69" s="36">
        <v>427122962</v>
      </c>
      <c r="R69" s="36">
        <v>50062520</v>
      </c>
      <c r="T69" s="36">
        <v>131226422</v>
      </c>
      <c r="U69" s="36"/>
      <c r="V69" s="36">
        <v>1060240466</v>
      </c>
      <c r="X69" s="36">
        <v>8090994943</v>
      </c>
    </row>
    <row r="70" spans="1:24" s="37" customFormat="1" ht="18">
      <c r="A70" s="37" t="s">
        <v>107</v>
      </c>
      <c r="D70" s="57"/>
      <c r="E70" s="36"/>
      <c r="F70" s="35"/>
      <c r="G70" s="36"/>
      <c r="I70" s="36"/>
      <c r="J70" s="35" t="s">
        <v>78</v>
      </c>
      <c r="K70" s="36"/>
      <c r="L70" s="35" t="s">
        <v>78</v>
      </c>
      <c r="M70" s="36"/>
      <c r="N70" s="38"/>
      <c r="O70" s="36"/>
      <c r="P70" s="35" t="s">
        <v>78</v>
      </c>
      <c r="R70" s="35" t="s">
        <v>78</v>
      </c>
      <c r="T70" s="35" t="s">
        <v>78</v>
      </c>
      <c r="U70" s="36"/>
      <c r="V70" s="35" t="s">
        <v>78</v>
      </c>
      <c r="X70" s="31">
        <f aca="true" t="shared" si="3" ref="X70:X75">SUM(J70:V70)</f>
        <v>0</v>
      </c>
    </row>
    <row r="71" spans="1:24" s="37" customFormat="1" ht="18">
      <c r="A71" s="37" t="s">
        <v>147</v>
      </c>
      <c r="D71" s="58"/>
      <c r="E71" s="36"/>
      <c r="F71" s="35"/>
      <c r="G71" s="36"/>
      <c r="H71" s="40"/>
      <c r="I71" s="36"/>
      <c r="J71" s="35" t="s">
        <v>78</v>
      </c>
      <c r="K71" s="36"/>
      <c r="L71" s="35" t="s">
        <v>78</v>
      </c>
      <c r="M71" s="36"/>
      <c r="N71" s="35" t="s">
        <v>78</v>
      </c>
      <c r="O71" s="36"/>
      <c r="P71" s="35" t="s">
        <v>78</v>
      </c>
      <c r="R71" s="35" t="s">
        <v>78</v>
      </c>
      <c r="T71" s="35" t="s">
        <v>78</v>
      </c>
      <c r="U71" s="36"/>
      <c r="V71" s="35" t="s">
        <v>78</v>
      </c>
      <c r="X71" s="31">
        <f t="shared" si="3"/>
        <v>0</v>
      </c>
    </row>
    <row r="72" spans="1:24" s="37" customFormat="1" ht="18">
      <c r="A72" s="37" t="s">
        <v>155</v>
      </c>
      <c r="D72" s="58"/>
      <c r="E72" s="57"/>
      <c r="F72" s="35"/>
      <c r="G72" s="36"/>
      <c r="H72" s="40">
        <v>32</v>
      </c>
      <c r="J72" s="35" t="s">
        <v>78</v>
      </c>
      <c r="K72" s="36"/>
      <c r="L72" s="35" t="s">
        <v>78</v>
      </c>
      <c r="M72" s="36"/>
      <c r="N72" s="35" t="s">
        <v>78</v>
      </c>
      <c r="O72" s="36"/>
      <c r="P72" s="35" t="s">
        <v>78</v>
      </c>
      <c r="R72" s="31"/>
      <c r="T72" s="35" t="s">
        <v>78</v>
      </c>
      <c r="U72" s="36"/>
      <c r="V72" s="35" t="s">
        <v>78</v>
      </c>
      <c r="X72" s="31">
        <f t="shared" si="3"/>
        <v>0</v>
      </c>
    </row>
    <row r="73" spans="1:24" s="37" customFormat="1" ht="18">
      <c r="A73" s="37" t="s">
        <v>165</v>
      </c>
      <c r="D73" s="58"/>
      <c r="E73" s="57"/>
      <c r="F73" s="35"/>
      <c r="G73" s="36"/>
      <c r="H73" s="40">
        <v>17</v>
      </c>
      <c r="J73" s="35" t="s">
        <v>78</v>
      </c>
      <c r="K73" s="36"/>
      <c r="L73" s="35" t="s">
        <v>78</v>
      </c>
      <c r="M73" s="36"/>
      <c r="N73" s="35" t="s">
        <v>78</v>
      </c>
      <c r="O73" s="36"/>
      <c r="P73" s="35"/>
      <c r="R73" s="35" t="s">
        <v>78</v>
      </c>
      <c r="T73" s="35" t="s">
        <v>78</v>
      </c>
      <c r="U73" s="36"/>
      <c r="V73" s="35" t="s">
        <v>78</v>
      </c>
      <c r="X73" s="31">
        <f t="shared" si="3"/>
        <v>0</v>
      </c>
    </row>
    <row r="74" spans="1:24" s="37" customFormat="1" ht="18">
      <c r="A74" s="37" t="s">
        <v>108</v>
      </c>
      <c r="D74" s="49"/>
      <c r="E74" s="39"/>
      <c r="F74" s="35"/>
      <c r="G74" s="39"/>
      <c r="H74" s="49"/>
      <c r="I74" s="39"/>
      <c r="J74" s="35" t="s">
        <v>78</v>
      </c>
      <c r="K74" s="39"/>
      <c r="L74" s="35" t="s">
        <v>78</v>
      </c>
      <c r="M74" s="41"/>
      <c r="N74" s="35" t="s">
        <v>78</v>
      </c>
      <c r="O74" s="41"/>
      <c r="P74" s="35" t="s">
        <v>78</v>
      </c>
      <c r="R74" s="35" t="s">
        <v>78</v>
      </c>
      <c r="T74" s="35" t="s">
        <v>78</v>
      </c>
      <c r="U74" s="41"/>
      <c r="V74" s="38" t="e">
        <f>'BS&amp;PL'!#REF!</f>
        <v>#REF!</v>
      </c>
      <c r="X74" s="31" t="e">
        <f t="shared" si="3"/>
        <v>#REF!</v>
      </c>
    </row>
    <row r="75" spans="1:24" s="37" customFormat="1" ht="18">
      <c r="A75" s="37" t="s">
        <v>137</v>
      </c>
      <c r="D75" s="58"/>
      <c r="E75" s="36"/>
      <c r="F75" s="35"/>
      <c r="G75" s="36"/>
      <c r="H75" s="40">
        <v>23</v>
      </c>
      <c r="I75" s="36"/>
      <c r="J75" s="35" t="s">
        <v>78</v>
      </c>
      <c r="K75" s="36"/>
      <c r="L75" s="35" t="s">
        <v>78</v>
      </c>
      <c r="M75" s="36"/>
      <c r="N75" s="35" t="s">
        <v>78</v>
      </c>
      <c r="O75" s="36"/>
      <c r="P75" s="35" t="s">
        <v>78</v>
      </c>
      <c r="R75" s="35" t="s">
        <v>78</v>
      </c>
      <c r="T75" s="35" t="s">
        <v>78</v>
      </c>
      <c r="U75" s="36"/>
      <c r="V75" s="38">
        <f>T38</f>
        <v>0</v>
      </c>
      <c r="X75" s="31">
        <f t="shared" si="3"/>
        <v>0</v>
      </c>
    </row>
    <row r="76" spans="1:24" s="37" customFormat="1" ht="18.75" thickBot="1">
      <c r="A76" s="30" t="s">
        <v>150</v>
      </c>
      <c r="D76" s="36"/>
      <c r="E76" s="36"/>
      <c r="F76" s="36"/>
      <c r="G76" s="36"/>
      <c r="H76" s="36"/>
      <c r="I76" s="36"/>
      <c r="J76" s="45">
        <f>SUM(J64:J75)</f>
        <v>3543113400</v>
      </c>
      <c r="K76" s="36"/>
      <c r="L76" s="45">
        <f>SUM(L64:L75)</f>
        <v>13686502287</v>
      </c>
      <c r="M76" s="36"/>
      <c r="N76" s="45">
        <f>SUM(N64:N75)</f>
        <v>2037412032</v>
      </c>
      <c r="O76" s="36"/>
      <c r="P76" s="45">
        <f>SUM(P64:P75)</f>
        <v>1300187586</v>
      </c>
      <c r="R76" s="45">
        <f>SUM(R64:R75)</f>
        <v>150187560</v>
      </c>
      <c r="T76" s="45">
        <f>SUM(T64:T75)</f>
        <v>393679266</v>
      </c>
      <c r="U76" s="36"/>
      <c r="V76" s="45" t="e">
        <f>SUM(V64:V75)</f>
        <v>#REF!</v>
      </c>
      <c r="X76" s="45" t="e">
        <f>SUM(X64:X75)</f>
        <v>#REF!</v>
      </c>
    </row>
    <row r="77" spans="2:25" ht="18.75" thickTop="1">
      <c r="B77" s="46"/>
      <c r="C77" s="46"/>
      <c r="D77" s="46"/>
      <c r="E77" s="46"/>
      <c r="F77" s="46"/>
      <c r="G77" s="46"/>
      <c r="H77" s="46"/>
      <c r="I77" s="46"/>
      <c r="J77" s="46"/>
      <c r="K77" s="46"/>
      <c r="M77" s="46"/>
      <c r="N77" s="46"/>
      <c r="O77" s="46"/>
      <c r="P77" s="46"/>
      <c r="Q77" s="46"/>
      <c r="R77" s="46"/>
      <c r="S77" s="46"/>
      <c r="T77" s="46"/>
      <c r="U77" s="46"/>
      <c r="W77" s="46"/>
      <c r="X77" s="46"/>
      <c r="Y77" s="25"/>
    </row>
    <row r="78" spans="1:25" ht="18">
      <c r="A78" s="47" t="s">
        <v>51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M78" s="46"/>
      <c r="N78" s="46"/>
      <c r="O78" s="46"/>
      <c r="P78" s="46"/>
      <c r="Q78" s="46"/>
      <c r="R78" s="46"/>
      <c r="S78" s="46"/>
      <c r="T78" s="46"/>
      <c r="U78" s="46"/>
      <c r="W78" s="46"/>
      <c r="X78" s="46"/>
      <c r="Y78" s="25"/>
    </row>
    <row r="79" spans="1:25" ht="18">
      <c r="A79" s="47"/>
      <c r="B79" s="46"/>
      <c r="C79" s="46"/>
      <c r="D79" s="46"/>
      <c r="E79" s="46"/>
      <c r="F79" s="46"/>
      <c r="G79" s="46"/>
      <c r="H79" s="46"/>
      <c r="I79" s="46"/>
      <c r="J79" s="46"/>
      <c r="K79" s="46"/>
      <c r="M79" s="46"/>
      <c r="N79" s="46"/>
      <c r="O79" s="46"/>
      <c r="P79" s="46"/>
      <c r="Q79" s="46"/>
      <c r="R79" s="46"/>
      <c r="S79" s="46"/>
      <c r="T79" s="46"/>
      <c r="U79" s="46"/>
      <c r="W79" s="46"/>
      <c r="X79" s="46"/>
      <c r="Y79" s="25"/>
    </row>
    <row r="80" spans="1:25" ht="18">
      <c r="A80" s="47"/>
      <c r="B80" s="46"/>
      <c r="C80" s="46"/>
      <c r="D80" s="46"/>
      <c r="E80" s="46"/>
      <c r="F80" s="46"/>
      <c r="G80" s="46"/>
      <c r="H80" s="46"/>
      <c r="I80" s="46"/>
      <c r="J80" s="46"/>
      <c r="K80" s="46"/>
      <c r="M80" s="46"/>
      <c r="N80" s="46"/>
      <c r="O80" s="46"/>
      <c r="P80" s="46"/>
      <c r="Q80" s="46"/>
      <c r="R80" s="46"/>
      <c r="S80" s="46"/>
      <c r="U80" s="46"/>
      <c r="W80" s="46"/>
      <c r="X80" s="46"/>
      <c r="Y80" s="25"/>
    </row>
    <row r="81" spans="1:25" ht="18">
      <c r="A81" s="47"/>
      <c r="B81" s="46"/>
      <c r="C81" s="46"/>
      <c r="D81" s="46"/>
      <c r="E81" s="46"/>
      <c r="F81" s="46"/>
      <c r="G81" s="46"/>
      <c r="H81" s="46"/>
      <c r="I81" s="46"/>
      <c r="J81" s="46"/>
      <c r="K81" s="46"/>
      <c r="M81" s="46"/>
      <c r="N81" s="46"/>
      <c r="O81" s="46"/>
      <c r="P81" s="46"/>
      <c r="Q81" s="46"/>
      <c r="R81" s="46"/>
      <c r="S81" s="46"/>
      <c r="U81" s="46"/>
      <c r="W81" s="46"/>
      <c r="X81" s="46"/>
      <c r="Y81" s="25"/>
    </row>
    <row r="82" spans="1:25" ht="18">
      <c r="A82" s="47"/>
      <c r="B82" s="46"/>
      <c r="C82" s="46"/>
      <c r="D82" s="46"/>
      <c r="E82" s="46"/>
      <c r="F82" s="46"/>
      <c r="G82" s="46"/>
      <c r="H82" s="46"/>
      <c r="I82" s="46"/>
      <c r="J82" s="46"/>
      <c r="K82" s="46"/>
      <c r="M82" s="46"/>
      <c r="N82" s="46"/>
      <c r="O82" s="46"/>
      <c r="P82" s="46"/>
      <c r="Q82" s="46"/>
      <c r="R82" s="46"/>
      <c r="S82" s="46"/>
      <c r="U82" s="46"/>
      <c r="W82" s="46"/>
      <c r="X82" s="46"/>
      <c r="Y82" s="25"/>
    </row>
    <row r="83" spans="1:25" ht="18">
      <c r="A83" s="47"/>
      <c r="B83" s="46"/>
      <c r="C83" s="46"/>
      <c r="D83" s="46"/>
      <c r="E83" s="46"/>
      <c r="F83" s="46"/>
      <c r="G83" s="46"/>
      <c r="H83" s="46"/>
      <c r="I83" s="46"/>
      <c r="J83" s="46"/>
      <c r="K83" s="46"/>
      <c r="M83" s="46"/>
      <c r="N83" s="46"/>
      <c r="O83" s="46"/>
      <c r="P83" s="46"/>
      <c r="Q83" s="46"/>
      <c r="R83" s="46"/>
      <c r="S83" s="46"/>
      <c r="U83" s="46"/>
      <c r="W83" s="46"/>
      <c r="X83" s="46"/>
      <c r="Y83" s="25"/>
    </row>
    <row r="84" spans="1:25" ht="18">
      <c r="A84" s="47"/>
      <c r="B84" s="46"/>
      <c r="C84" s="46"/>
      <c r="D84" s="46"/>
      <c r="E84" s="46"/>
      <c r="F84" s="46"/>
      <c r="G84" s="46"/>
      <c r="H84" s="46"/>
      <c r="I84" s="46"/>
      <c r="J84" s="46"/>
      <c r="K84" s="46"/>
      <c r="M84" s="46"/>
      <c r="N84" s="46"/>
      <c r="O84" s="46"/>
      <c r="P84" s="46"/>
      <c r="Q84" s="46"/>
      <c r="R84" s="46"/>
      <c r="S84" s="46"/>
      <c r="U84" s="46"/>
      <c r="W84" s="46"/>
      <c r="X84" s="46"/>
      <c r="Y84" s="25"/>
    </row>
    <row r="85" spans="1:24" ht="18">
      <c r="A85" s="158" t="s">
        <v>110</v>
      </c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</row>
  </sheetData>
  <mergeCells count="14">
    <mergeCell ref="A85:X85"/>
    <mergeCell ref="A45:X45"/>
    <mergeCell ref="A46:X46"/>
    <mergeCell ref="A1:X1"/>
    <mergeCell ref="A2:X2"/>
    <mergeCell ref="A3:X3"/>
    <mergeCell ref="A44:X44"/>
    <mergeCell ref="A43:X43"/>
    <mergeCell ref="D5:X5"/>
    <mergeCell ref="F6:L6"/>
    <mergeCell ref="R6:T6"/>
    <mergeCell ref="J48:X48"/>
    <mergeCell ref="L49:P49"/>
    <mergeCell ref="T49:V49"/>
  </mergeCells>
  <printOptions horizontalCentered="1"/>
  <pageMargins left="0.61" right="0.393700787401575" top="0.89" bottom="0.17" header="0.77" footer="0.196850393700787"/>
  <pageSetup firstPageNumber="3" useFirstPageNumber="1" horizontalDpi="600" verticalDpi="600" orientation="landscape" scale="70" r:id="rId3"/>
  <headerFooter alignWithMargins="0">
    <oddHeader>&amp;C&amp;"Times New Roman,Bold"&amp;10DRAFT SUBJECT TO OUTSTANDING MATTERS</oddHeader>
    <oddFooter>&amp;R&amp;"Times New Roman,Regular"&amp;10We, being responsible for the preparation of
these financial statements and notes thereto,
hereby approve their issue in final form.  
………………..……………………..….…
Directors                       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asukyai</dc:creator>
  <cp:keywords/>
  <dc:description/>
  <cp:lastModifiedBy>Daughtrat.Wongsangth</cp:lastModifiedBy>
  <cp:lastPrinted>2008-08-13T03:48:07Z</cp:lastPrinted>
  <dcterms:created xsi:type="dcterms:W3CDTF">2002-04-23T15:36:06Z</dcterms:created>
  <dcterms:modified xsi:type="dcterms:W3CDTF">2008-08-13T09:52:06Z</dcterms:modified>
  <cp:category/>
  <cp:version/>
  <cp:contentType/>
  <cp:contentStatus/>
</cp:coreProperties>
</file>